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Finance\Cash Flow Projections\"/>
    </mc:Choice>
  </mc:AlternateContent>
  <bookViews>
    <workbookView xWindow="0" yWindow="0" windowWidth="17970" windowHeight="8190" activeTab="1"/>
  </bookViews>
  <sheets>
    <sheet name="Balance Sheet" sheetId="1" r:id="rId1"/>
    <sheet name="P&amp;L" sheetId="2" r:id="rId2"/>
    <sheet name="Forecast to FYE21" sheetId="4" r:id="rId3"/>
    <sheet name="Cash Flow &amp; P&amp;L by Function" sheetId="3" r:id="rId4"/>
  </sheets>
  <externalReferences>
    <externalReference r:id="rId5"/>
  </externalReferences>
  <definedNames>
    <definedName name="_xlnm.Print_Titles" localSheetId="0">'Balance Sheet'!$A:$E,'Balance Sheet'!$4:$5</definedName>
    <definedName name="_xlnm.Print_Titles" localSheetId="2">'Forecast to FYE21'!$A:$E,'Forecast to FYE21'!$4:$5</definedName>
    <definedName name="_xlnm.Print_Titles" localSheetId="1">'P&amp;L'!$A:$E,'P&amp;L'!$4:$5</definedName>
    <definedName name="QB_COLUMN_59200" localSheetId="0" hidden="1">'Balance Sheet'!$F$5</definedName>
    <definedName name="QB_COLUMN_59200" localSheetId="2" hidden="1">'Forecast to FYE21'!#REF!</definedName>
    <definedName name="QB_COLUMN_59200" localSheetId="1" hidden="1">'P&amp;L'!$F$5</definedName>
    <definedName name="QB_COLUMN_60210" localSheetId="0" hidden="1">'Balance Sheet'!$G$5</definedName>
    <definedName name="QB_COLUMN_63620" localSheetId="0" hidden="1">'Balance Sheet'!$H$5</definedName>
    <definedName name="QB_COLUMN_63620" localSheetId="2" hidden="1">'Forecast to FYE21'!#REF!</definedName>
    <definedName name="QB_COLUMN_63620" localSheetId="1" hidden="1">'P&amp;L'!$J$5</definedName>
    <definedName name="QB_COLUMN_76210" localSheetId="2" hidden="1">'Forecast to FYE21'!$F$5</definedName>
    <definedName name="QB_COLUMN_76210" localSheetId="1" hidden="1">'P&amp;L'!$H$5</definedName>
    <definedName name="QB_COMPANY_0" localSheetId="0" hidden="1">'Balance Sheet'!$A$1</definedName>
    <definedName name="QB_COMPANY_0" localSheetId="2" hidden="1">'Forecast to FYE21'!$A$1</definedName>
    <definedName name="QB_COMPANY_0" localSheetId="1" hidden="1">'P&amp;L'!$A$1</definedName>
    <definedName name="QB_DATA_0" localSheetId="0" hidden="1">'Balance Sheet'!$8:$8,'Balance Sheet'!$9:$9,'Balance Sheet'!$11:$11,'Balance Sheet'!$12:$12,'Balance Sheet'!$14:$14,'Balance Sheet'!$18:$18,'Balance Sheet'!$19:$19,'Balance Sheet'!$20:$20,'Balance Sheet'!$23:$23,'Balance Sheet'!#REF!,'Balance Sheet'!#REF!,'Balance Sheet'!$28:$28,'Balance Sheet'!#REF!,'Balance Sheet'!#REF!,'Balance Sheet'!$32:$32,'Balance Sheet'!$33:$33</definedName>
    <definedName name="QB_DATA_0" localSheetId="2" hidden="1">'Forecast to FYE21'!$10:$10,'Forecast to FYE21'!$13:$13,'Forecast to FYE21'!$14:$14,'Forecast to FYE21'!$15:$15,'Forecast to FYE21'!$16:$16,'Forecast to FYE21'!$17:$17,'Forecast to FYE21'!$18:$18,'Forecast to FYE21'!$19:$19,'Forecast to FYE21'!$24:$24,'Forecast to FYE21'!$25:$25,'Forecast to FYE21'!#REF!,'Forecast to FYE21'!$26:$26,'Forecast to FYE21'!$27:$27,'Forecast to FYE21'!$28:$28,'Forecast to FYE21'!$29:$29,'Forecast to FYE21'!$30:$30</definedName>
    <definedName name="QB_DATA_0" localSheetId="1" hidden="1">'P&amp;L'!$11:$11,'P&amp;L'!$13:$13,'P&amp;L'!$14:$14,'P&amp;L'!$15:$15,'P&amp;L'!$16:$16,'P&amp;L'!$17:$17,'P&amp;L'!$18:$18,'P&amp;L'!$19:$19,'P&amp;L'!$23:$23,'P&amp;L'!$24:$24,'P&amp;L'!#REF!,'P&amp;L'!$25:$25,'P&amp;L'!$26:$26,'P&amp;L'!$27:$27,'P&amp;L'!$28:$28,'P&amp;L'!$29:$29</definedName>
    <definedName name="QB_DATA_1" localSheetId="0" hidden="1">'Balance Sheet'!$36:$36,'Balance Sheet'!$37:$37,'Balance Sheet'!$43:$43,'Balance Sheet'!$44:$44,'Balance Sheet'!$46:$46,'Balance Sheet'!$49:$49,'Balance Sheet'!$53:$53,'Balance Sheet'!$54:$54,'Balance Sheet'!$55:$55</definedName>
    <definedName name="QB_DATA_1" localSheetId="2" hidden="1">'Forecast to FYE21'!$35:$35,'Forecast to FYE21'!$36:$36,'Forecast to FYE21'!$37:$37,'Forecast to FYE21'!$38:$38,'Forecast to FYE21'!$39:$39,'Forecast to FYE21'!$40:$40,'Forecast to FYE21'!$41:$41,'Forecast to FYE21'!$42:$42,'Forecast to FYE21'!$43:$43,'Forecast to FYE21'!$44:$44,'Forecast to FYE21'!$45:$45,'Forecast to FYE21'!$46:$46,'Forecast to FYE21'!$47:$47,'Forecast to FYE21'!$48:$48,'Forecast to FYE21'!$49:$49,'Forecast to FYE21'!$50:$50</definedName>
    <definedName name="QB_DATA_1" localSheetId="1" hidden="1">'P&amp;L'!$34:$34,'P&amp;L'!#REF!,'P&amp;L'!$36:$36,'P&amp;L'!$37:$37,'P&amp;L'!$38:$38,'P&amp;L'!$39:$39,'P&amp;L'!$40:$40,'P&amp;L'!$41:$41,'P&amp;L'!$42:$42,'P&amp;L'!$43:$43,'P&amp;L'!$44:$44,'P&amp;L'!$45:$45,'P&amp;L'!$46:$46,'P&amp;L'!$47:$47,'P&amp;L'!$48:$48,'P&amp;L'!$49:$49</definedName>
    <definedName name="QB_DATA_2" localSheetId="2" hidden="1">'Forecast to FYE21'!$51:$51,'Forecast to FYE21'!$52:$52,'Forecast to FYE21'!$53:$53,'Forecast to FYE21'!$54:$54,'Forecast to FYE21'!#REF!,'Forecast to FYE21'!#REF!,'Forecast to FYE21'!#REF!</definedName>
    <definedName name="QB_DATA_2" localSheetId="1" hidden="1">'P&amp;L'!$50:$50,'P&amp;L'!$51:$51,'P&amp;L'!$52:$52,'P&amp;L'!$53:$53,'P&amp;L'!#REF!,'P&amp;L'!$59:$59,'P&amp;L'!$60:$60</definedName>
    <definedName name="QB_FORMULA_0" localSheetId="0" hidden="1">'Balance Sheet'!$H$8,'Balance Sheet'!$H$9,'Balance Sheet'!$H$11,'Balance Sheet'!$H$12,'Balance Sheet'!$H$14,'Balance Sheet'!$H$18,'Balance Sheet'!$H$19,'Balance Sheet'!$H$20,'Balance Sheet'!$F$21,'Balance Sheet'!$G$21,'Balance Sheet'!$H$21,'Balance Sheet'!$H$23,'Balance Sheet'!#REF!,'Balance Sheet'!#REF!,'Balance Sheet'!$F$25,'Balance Sheet'!$G$25</definedName>
    <definedName name="QB_FORMULA_0" localSheetId="2" hidden="1">'Forecast to FYE21'!#REF!,'Forecast to FYE21'!#REF!,'Forecast to FYE21'!#REF!,'Forecast to FYE21'!#REF!,'Forecast to FYE21'!#REF!,'Forecast to FYE21'!#REF!,'Forecast to FYE21'!#REF!,'Forecast to FYE21'!#REF!,'Forecast to FYE21'!#REF!,'Forecast to FYE21'!$F$21,'Forecast to FYE21'!#REF!,'Forecast to FYE21'!#REF!,'Forecast to FYE21'!#REF!,'Forecast to FYE21'!#REF!,'Forecast to FYE21'!#REF!,'Forecast to FYE21'!#REF!</definedName>
    <definedName name="QB_FORMULA_0" localSheetId="1" hidden="1">'P&amp;L'!$J$11,'P&amp;L'!$J$13,'P&amp;L'!$J$14,'P&amp;L'!$J$15,'P&amp;L'!$J$16,'P&amp;L'!$J$17,'P&amp;L'!$J$18,'P&amp;L'!$J$19,'P&amp;L'!$F$20,'P&amp;L'!$H$20,'P&amp;L'!$J$20,'P&amp;L'!$J$23,'P&amp;L'!$J$24,'P&amp;L'!#REF!,'P&amp;L'!$J$25,'P&amp;L'!$J$26</definedName>
    <definedName name="QB_FORMULA_1" localSheetId="0" hidden="1">'Balance Sheet'!$H$25,'Balance Sheet'!$F$26,'Balance Sheet'!$G$26,'Balance Sheet'!$H$26,'Balance Sheet'!$H$28,'Balance Sheet'!$H$32,'Balance Sheet'!$H$33,'Balance Sheet'!$F$34,'Balance Sheet'!$G$34,'Balance Sheet'!$H$34,'Balance Sheet'!$H$37,'Balance Sheet'!$F$38,'Balance Sheet'!$G$38,'Balance Sheet'!$H$38,'Balance Sheet'!$F$39,'Balance Sheet'!$G$39</definedName>
    <definedName name="QB_FORMULA_1" localSheetId="2" hidden="1">'Forecast to FYE21'!#REF!,'Forecast to FYE21'!#REF!,'Forecast to FYE21'!#REF!,'Forecast to FYE21'!#REF!,'Forecast to FYE21'!$F$31,'Forecast to FYE21'!#REF!,'Forecast to FYE21'!#REF!,'Forecast to FYE21'!$F$32,'Forecast to FYE21'!#REF!,'Forecast to FYE21'!#REF!,'Forecast to FYE21'!#REF!,'Forecast to FYE21'!#REF!,'Forecast to FYE21'!#REF!,'Forecast to FYE21'!#REF!,'Forecast to FYE21'!#REF!,'Forecast to FYE21'!#REF!</definedName>
    <definedName name="QB_FORMULA_1" localSheetId="1" hidden="1">'P&amp;L'!$J$27,'P&amp;L'!$J$28,'P&amp;L'!$J$29,'P&amp;L'!$F$30,'P&amp;L'!$H$30,'P&amp;L'!$J$30,'P&amp;L'!$F$31,'P&amp;L'!$H$31,'P&amp;L'!$J$31,'P&amp;L'!$J$34,'P&amp;L'!#REF!,'P&amp;L'!$J$36,'P&amp;L'!$J$37,'P&amp;L'!$J$38,'P&amp;L'!$J$39,'P&amp;L'!$J$40</definedName>
    <definedName name="QB_FORMULA_2" localSheetId="0" hidden="1">'Balance Sheet'!$H$39,'Balance Sheet'!$H$43,'Balance Sheet'!$H$44,'Balance Sheet'!$H$46,'Balance Sheet'!$F$47,'Balance Sheet'!$G$47,'Balance Sheet'!$H$47,'Balance Sheet'!$H$49,'Balance Sheet'!$F$50,'Balance Sheet'!$G$50,'Balance Sheet'!$H$50,'Balance Sheet'!$H$53,'Balance Sheet'!$H$54,'Balance Sheet'!$H$55,'Balance Sheet'!$F$56,'Balance Sheet'!$G$56</definedName>
    <definedName name="QB_FORMULA_2" localSheetId="2" hidden="1">'Forecast to FYE21'!#REF!,'Forecast to FYE21'!#REF!,'Forecast to FYE21'!#REF!,'Forecast to FYE21'!#REF!,'Forecast to FYE21'!#REF!,'Forecast to FYE21'!#REF!,'Forecast to FYE21'!#REF!,'Forecast to FYE21'!#REF!,'Forecast to FYE21'!#REF!,'Forecast to FYE21'!#REF!,'Forecast to FYE21'!#REF!,'Forecast to FYE21'!#REF!,'Forecast to FYE21'!#REF!,'Forecast to FYE21'!#REF!,'Forecast to FYE21'!$F$55,'Forecast to FYE21'!#REF!</definedName>
    <definedName name="QB_FORMULA_2" localSheetId="1" hidden="1">'P&amp;L'!$J$41,'P&amp;L'!$J$42,'P&amp;L'!$J$44,'P&amp;L'!$J$45,'P&amp;L'!$J$46,'P&amp;L'!$J$47,'P&amp;L'!$J$48,'P&amp;L'!$J$49,'P&amp;L'!$J$50,'P&amp;L'!$J$51,'P&amp;L'!$J$52,'P&amp;L'!$J$53,'P&amp;L'!#REF!,'P&amp;L'!$F$54,'P&amp;L'!$H$54,'P&amp;L'!$J$54</definedName>
    <definedName name="QB_FORMULA_3" localSheetId="0" hidden="1">'Balance Sheet'!$H$56,'Balance Sheet'!$F$57,'Balance Sheet'!$G$57,'Balance Sheet'!$H$57</definedName>
    <definedName name="QB_FORMULA_3" localSheetId="2" hidden="1">'Forecast to FYE21'!#REF!,'Forecast to FYE21'!$F$56,'Forecast to FYE21'!#REF!,'Forecast to FYE21'!#REF!,'Forecast to FYE21'!#REF!,'Forecast to FYE21'!#REF!,'Forecast to FYE21'!#REF!,'Forecast to FYE21'!#REF!,'Forecast to FYE21'!#REF!,'Forecast to FYE21'!#REF!,'Forecast to FYE21'!#REF!,'Forecast to FYE21'!#REF!,'Forecast to FYE21'!#REF!,'Forecast to FYE21'!#REF!</definedName>
    <definedName name="QB_FORMULA_3" localSheetId="1" hidden="1">'P&amp;L'!$F$55,'P&amp;L'!$H$55,'P&amp;L'!$J$55,'P&amp;L'!$J$59,'P&amp;L'!$J$60,'P&amp;L'!$F$61,'P&amp;L'!$H$61,'P&amp;L'!$J$61,'P&amp;L'!$F$62,'P&amp;L'!$H$62,'P&amp;L'!$J$62,'P&amp;L'!$F$64,'P&amp;L'!$H$64,'P&amp;L'!$J$64</definedName>
    <definedName name="QB_ROW_1" localSheetId="0" hidden="1">'Balance Sheet'!$A$6</definedName>
    <definedName name="QB_ROW_1011" localSheetId="0" hidden="1">'Balance Sheet'!$B$7</definedName>
    <definedName name="QB_ROW_10331" localSheetId="0" hidden="1">'Balance Sheet'!$D$43</definedName>
    <definedName name="QB_ROW_11331" localSheetId="0" hidden="1">'Balance Sheet'!$D$44</definedName>
    <definedName name="QB_ROW_1220" localSheetId="0" hidden="1">'Balance Sheet'!$C$54</definedName>
    <definedName name="QB_ROW_12331" localSheetId="0" hidden="1">'Balance Sheet'!$D$46</definedName>
    <definedName name="QB_ROW_126240" localSheetId="2" hidden="1">'Forecast to FYE21'!$E$38</definedName>
    <definedName name="QB_ROW_126240" localSheetId="1" hidden="1">'P&amp;L'!$E$37</definedName>
    <definedName name="QB_ROW_1311" localSheetId="0" hidden="1">'Balance Sheet'!$B$26</definedName>
    <definedName name="QB_ROW_13321" localSheetId="0" hidden="1">'Balance Sheet'!$C$49</definedName>
    <definedName name="QB_ROW_137240" localSheetId="2" hidden="1">'Forecast to FYE21'!#REF!</definedName>
    <definedName name="QB_ROW_137240" localSheetId="1" hidden="1">'P&amp;L'!#REF!</definedName>
    <definedName name="QB_ROW_14011" localSheetId="0" hidden="1">'Balance Sheet'!$B$52</definedName>
    <definedName name="QB_ROW_14311" localSheetId="0" hidden="1">'Balance Sheet'!$B$56</definedName>
    <definedName name="QB_ROW_15240" localSheetId="2" hidden="1">'Forecast to FYE21'!$E$27</definedName>
    <definedName name="QB_ROW_15240" localSheetId="1" hidden="1">'P&amp;L'!$E$26</definedName>
    <definedName name="QB_ROW_164340" localSheetId="0" hidden="1">'Balance Sheet'!$E$18</definedName>
    <definedName name="QB_ROW_171230" localSheetId="0" hidden="1">'Balance Sheet'!#REF!</definedName>
    <definedName name="QB_ROW_17221" localSheetId="0" hidden="1">'Balance Sheet'!$C$55</definedName>
    <definedName name="QB_ROW_18301" localSheetId="2" hidden="1">'Forecast to FYE21'!#REF!</definedName>
    <definedName name="QB_ROW_18301" localSheetId="1" hidden="1">'P&amp;L'!$A$64</definedName>
    <definedName name="QB_ROW_19011" localSheetId="2" hidden="1">'Forecast to FYE21'!$B$6</definedName>
    <definedName name="QB_ROW_19011" localSheetId="1" hidden="1">'P&amp;L'!$B$6</definedName>
    <definedName name="QB_ROW_19311" localSheetId="2" hidden="1">'Forecast to FYE21'!$B$56</definedName>
    <definedName name="QB_ROW_19311" localSheetId="1" hidden="1">'P&amp;L'!$B$55</definedName>
    <definedName name="QB_ROW_20031" localSheetId="2" hidden="1">'Forecast to FYE21'!$D$7</definedName>
    <definedName name="QB_ROW_20031" localSheetId="1" hidden="1">'P&amp;L'!$D$7</definedName>
    <definedName name="QB_ROW_20331" localSheetId="2" hidden="1">'Forecast to FYE21'!$D$21</definedName>
    <definedName name="QB_ROW_20331" localSheetId="1" hidden="1">'P&amp;L'!$D$20</definedName>
    <definedName name="QB_ROW_21031" localSheetId="2" hidden="1">'Forecast to FYE21'!$D$34</definedName>
    <definedName name="QB_ROW_21031" localSheetId="1" hidden="1">'P&amp;L'!$D$33</definedName>
    <definedName name="QB_ROW_21331" localSheetId="2" hidden="1">'Forecast to FYE21'!$D$55</definedName>
    <definedName name="QB_ROW_21331" localSheetId="1" hidden="1">'P&amp;L'!$D$54</definedName>
    <definedName name="QB_ROW_22011" localSheetId="2" hidden="1">'Forecast to FYE21'!#REF!</definedName>
    <definedName name="QB_ROW_22011" localSheetId="1" hidden="1">'P&amp;L'!$B$57</definedName>
    <definedName name="QB_ROW_22311" localSheetId="2" hidden="1">'Forecast to FYE21'!#REF!</definedName>
    <definedName name="QB_ROW_22311" localSheetId="1" hidden="1">'P&amp;L'!$B$62</definedName>
    <definedName name="QB_ROW_2321" localSheetId="0" hidden="1">'Balance Sheet'!$C$8</definedName>
    <definedName name="QB_ROW_24021" localSheetId="2" hidden="1">'Forecast to FYE21'!#REF!</definedName>
    <definedName name="QB_ROW_24021" localSheetId="1" hidden="1">'P&amp;L'!$C$58</definedName>
    <definedName name="QB_ROW_24321" localSheetId="2" hidden="1">'Forecast to FYE21'!#REF!</definedName>
    <definedName name="QB_ROW_24321" localSheetId="1" hidden="1">'P&amp;L'!$C$61</definedName>
    <definedName name="QB_ROW_250230" localSheetId="0" hidden="1">'Balance Sheet'!$D$14</definedName>
    <definedName name="QB_ROW_266340" localSheetId="2" hidden="1">'Forecast to FYE21'!$E$15</definedName>
    <definedName name="QB_ROW_266340" localSheetId="1" hidden="1">'P&amp;L'!$E$15</definedName>
    <definedName name="QB_ROW_277320" localSheetId="0" hidden="1">'Balance Sheet'!$C$37</definedName>
    <definedName name="QB_ROW_282230" localSheetId="0" hidden="1">'Balance Sheet'!$D$32</definedName>
    <definedName name="QB_ROW_301" localSheetId="0" hidden="1">'Balance Sheet'!$A$39</definedName>
    <definedName name="QB_ROW_311240" localSheetId="2" hidden="1">'Forecast to FYE21'!$E$43</definedName>
    <definedName name="QB_ROW_311240" localSheetId="1" hidden="1">'P&amp;L'!$E$42</definedName>
    <definedName name="QB_ROW_331240" localSheetId="2" hidden="1">'Forecast to FYE21'!$E$37</definedName>
    <definedName name="QB_ROW_331240" localSheetId="1" hidden="1">'P&amp;L'!$E$36</definedName>
    <definedName name="QB_ROW_3321" localSheetId="0" hidden="1">'Balance Sheet'!$C$9</definedName>
    <definedName name="QB_ROW_344240" localSheetId="2" hidden="1">'Forecast to FYE21'!$E$29</definedName>
    <definedName name="QB_ROW_344240" localSheetId="1" hidden="1">'P&amp;L'!$E$28</definedName>
    <definedName name="QB_ROW_35330" localSheetId="0" hidden="1">'Balance Sheet'!$D$11</definedName>
    <definedName name="QB_ROW_357230" localSheetId="0" hidden="1">'Balance Sheet'!#REF!</definedName>
    <definedName name="QB_ROW_358230" localSheetId="0" hidden="1">'Balance Sheet'!#REF!</definedName>
    <definedName name="QB_ROW_363230" localSheetId="0" hidden="1">'Balance Sheet'!#REF!</definedName>
    <definedName name="QB_ROW_364340" localSheetId="2" hidden="1">'Forecast to FYE21'!$E$45</definedName>
    <definedName name="QB_ROW_364340" localSheetId="1" hidden="1">'P&amp;L'!$E$44</definedName>
    <definedName name="QB_ROW_366340" localSheetId="2" hidden="1">'Forecast to FYE21'!$E$14</definedName>
    <definedName name="QB_ROW_366340" localSheetId="1" hidden="1">'P&amp;L'!$E$14</definedName>
    <definedName name="QB_ROW_368240" localSheetId="2" hidden="1">'Forecast to FYE21'!$E$13</definedName>
    <definedName name="QB_ROW_368240" localSheetId="1" hidden="1">'P&amp;L'!$E$13</definedName>
    <definedName name="QB_ROW_369340" localSheetId="2" hidden="1">'Forecast to FYE21'!$E$19</definedName>
    <definedName name="QB_ROW_369340" localSheetId="1" hidden="1">'P&amp;L'!$E$19</definedName>
    <definedName name="QB_ROW_373340" localSheetId="2" hidden="1">'Forecast to FYE21'!$E$16</definedName>
    <definedName name="QB_ROW_373340" localSheetId="1" hidden="1">'P&amp;L'!$E$16</definedName>
    <definedName name="QB_ROW_374340" localSheetId="2" hidden="1">'Forecast to FYE21'!$E$24</definedName>
    <definedName name="QB_ROW_374340" localSheetId="1" hidden="1">'P&amp;L'!$E$23</definedName>
    <definedName name="QB_ROW_375340" localSheetId="2" hidden="1">'Forecast to FYE21'!$E$25</definedName>
    <definedName name="QB_ROW_375340" localSheetId="1" hidden="1">'P&amp;L'!$E$24</definedName>
    <definedName name="QB_ROW_377340" localSheetId="2" hidden="1">'Forecast to FYE21'!$E$46</definedName>
    <definedName name="QB_ROW_377340" localSheetId="1" hidden="1">'P&amp;L'!$E$45</definedName>
    <definedName name="QB_ROW_379340" localSheetId="2" hidden="1">'Forecast to FYE21'!$E$41</definedName>
    <definedName name="QB_ROW_379340" localSheetId="1" hidden="1">'P&amp;L'!$E$40</definedName>
    <definedName name="QB_ROW_380340" localSheetId="2" hidden="1">'Forecast to FYE21'!$E$53</definedName>
    <definedName name="QB_ROW_380340" localSheetId="1" hidden="1">'P&amp;L'!$E$52</definedName>
    <definedName name="QB_ROW_381340" localSheetId="2" hidden="1">'Forecast to FYE21'!$E$35</definedName>
    <definedName name="QB_ROW_381340" localSheetId="1" hidden="1">'P&amp;L'!$E$34</definedName>
    <definedName name="QB_ROW_382240" localSheetId="2" hidden="1">'Forecast to FYE21'!$E$54</definedName>
    <definedName name="QB_ROW_382240" localSheetId="1" hidden="1">'P&amp;L'!$E$53</definedName>
    <definedName name="QB_ROW_383340" localSheetId="2" hidden="1">'Forecast to FYE21'!$E$52</definedName>
    <definedName name="QB_ROW_383340" localSheetId="1" hidden="1">'P&amp;L'!$E$51</definedName>
    <definedName name="QB_ROW_385340" localSheetId="2" hidden="1">'Forecast to FYE21'!$E$49</definedName>
    <definedName name="QB_ROW_385340" localSheetId="1" hidden="1">'P&amp;L'!$E$48</definedName>
    <definedName name="QB_ROW_386240" localSheetId="2" hidden="1">'Forecast to FYE21'!$E$40</definedName>
    <definedName name="QB_ROW_386240" localSheetId="1" hidden="1">'P&amp;L'!$E$39</definedName>
    <definedName name="QB_ROW_387240" localSheetId="2" hidden="1">'Forecast to FYE21'!$E$48</definedName>
    <definedName name="QB_ROW_387240" localSheetId="1" hidden="1">'P&amp;L'!$E$47</definedName>
    <definedName name="QB_ROW_388340" localSheetId="2" hidden="1">'Forecast to FYE21'!$E$50</definedName>
    <definedName name="QB_ROW_388340" localSheetId="1" hidden="1">'P&amp;L'!$E$49</definedName>
    <definedName name="QB_ROW_389230" localSheetId="2" hidden="1">'Forecast to FYE21'!#REF!</definedName>
    <definedName name="QB_ROW_389230" localSheetId="1" hidden="1">'P&amp;L'!$D$59</definedName>
    <definedName name="QB_ROW_39020" localSheetId="0" hidden="1">'Balance Sheet'!$C$31</definedName>
    <definedName name="QB_ROW_39320" localSheetId="0" hidden="1">'Balance Sheet'!$C$34</definedName>
    <definedName name="QB_ROW_4021" localSheetId="0" hidden="1">'Balance Sheet'!$C$10</definedName>
    <definedName name="QB_ROW_40230" localSheetId="0" hidden="1">'Balance Sheet'!$D$33</definedName>
    <definedName name="QB_ROW_4321" localSheetId="0" hidden="1">'Balance Sheet'!$C$25</definedName>
    <definedName name="QB_ROW_447340" localSheetId="0" hidden="1">'Balance Sheet'!$E$20</definedName>
    <definedName name="QB_ROW_459340" localSheetId="2" hidden="1">'Forecast to FYE21'!$E$26</definedName>
    <definedName name="QB_ROW_459340" localSheetId="1" hidden="1">'P&amp;L'!$E$25</definedName>
    <definedName name="QB_ROW_463340" localSheetId="2" hidden="1">'Forecast to FYE21'!$E$42</definedName>
    <definedName name="QB_ROW_463340" localSheetId="1" hidden="1">'P&amp;L'!$E$41</definedName>
    <definedName name="QB_ROW_485230" localSheetId="0" hidden="1">'Balance Sheet'!$D$23</definedName>
    <definedName name="QB_ROW_486320" localSheetId="0" hidden="1">'Balance Sheet'!$C$36</definedName>
    <definedName name="QB_ROW_491330" localSheetId="0" hidden="1">'Balance Sheet'!$D$12</definedName>
    <definedName name="QB_ROW_496340" localSheetId="2" hidden="1">'Forecast to FYE21'!$E$17</definedName>
    <definedName name="QB_ROW_496340" localSheetId="1" hidden="1">'P&amp;L'!$E$17</definedName>
    <definedName name="QB_ROW_500240" localSheetId="2" hidden="1">'Forecast to FYE21'!#REF!</definedName>
    <definedName name="QB_ROW_500240" localSheetId="1" hidden="1">'P&amp;L'!#REF!</definedName>
    <definedName name="QB_ROW_502240" localSheetId="2" hidden="1">'Forecast to FYE21'!$E$36</definedName>
    <definedName name="QB_ROW_502240" localSheetId="1" hidden="1">'P&amp;L'!#REF!</definedName>
    <definedName name="QB_ROW_517240" localSheetId="2" hidden="1">'Forecast to FYE21'!$E$44</definedName>
    <definedName name="QB_ROW_517240" localSheetId="1" hidden="1">'P&amp;L'!$E$43</definedName>
    <definedName name="QB_ROW_522220" localSheetId="0" hidden="1">'Balance Sheet'!$C$53</definedName>
    <definedName name="QB_ROW_523240" localSheetId="0" hidden="1">'Balance Sheet'!$E$19</definedName>
    <definedName name="QB_ROW_5311" localSheetId="0" hidden="1">'Balance Sheet'!$B$28</definedName>
    <definedName name="QB_ROW_536030" localSheetId="0" hidden="1">'Balance Sheet'!$D$17</definedName>
    <definedName name="QB_ROW_536330" localSheetId="0" hidden="1">'Balance Sheet'!$D$21</definedName>
    <definedName name="QB_ROW_6011" localSheetId="0" hidden="1">'Balance Sheet'!$B$30</definedName>
    <definedName name="QB_ROW_6311" localSheetId="0" hidden="1">'Balance Sheet'!$B$38</definedName>
    <definedName name="QB_ROW_65240" localSheetId="2" hidden="1">'Forecast to FYE21'!$E$39</definedName>
    <definedName name="QB_ROW_65240" localSheetId="1" hidden="1">'P&amp;L'!$E$38</definedName>
    <definedName name="QB_ROW_69240" localSheetId="2" hidden="1">'Forecast to FYE21'!$E$28</definedName>
    <definedName name="QB_ROW_69240" localSheetId="1" hidden="1">'P&amp;L'!$E$27</definedName>
    <definedName name="QB_ROW_7001" localSheetId="0" hidden="1">'Balance Sheet'!$A$40</definedName>
    <definedName name="QB_ROW_71240" localSheetId="2" hidden="1">'Forecast to FYE21'!$E$51</definedName>
    <definedName name="QB_ROW_71240" localSheetId="1" hidden="1">'P&amp;L'!$E$50</definedName>
    <definedName name="QB_ROW_72340" localSheetId="2" hidden="1">'Forecast to FYE21'!$E$10</definedName>
    <definedName name="QB_ROW_72340" localSheetId="1" hidden="1">'P&amp;L'!$E$11</definedName>
    <definedName name="QB_ROW_7301" localSheetId="0" hidden="1">'Balance Sheet'!$A$57</definedName>
    <definedName name="QB_ROW_75230" localSheetId="2" hidden="1">'Forecast to FYE21'!#REF!</definedName>
    <definedName name="QB_ROW_75230" localSheetId="1" hidden="1">'P&amp;L'!$D$60</definedName>
    <definedName name="QB_ROW_8011" localSheetId="0" hidden="1">'Balance Sheet'!$B$41</definedName>
    <definedName name="QB_ROW_8311" localSheetId="0" hidden="1">'Balance Sheet'!$B$50</definedName>
    <definedName name="QB_ROW_86321" localSheetId="2" hidden="1">'Forecast to FYE21'!$C$32</definedName>
    <definedName name="QB_ROW_86321" localSheetId="1" hidden="1">'P&amp;L'!$C$31</definedName>
    <definedName name="QB_ROW_86340" localSheetId="2" hidden="1">'Forecast to FYE21'!$E$30</definedName>
    <definedName name="QB_ROW_86340" localSheetId="1" hidden="1">'P&amp;L'!$E$29</definedName>
    <definedName name="QB_ROW_87031" localSheetId="2" hidden="1">'Forecast to FYE21'!$D$23</definedName>
    <definedName name="QB_ROW_87031" localSheetId="1" hidden="1">'P&amp;L'!$D$22</definedName>
    <definedName name="QB_ROW_87331" localSheetId="2" hidden="1">'Forecast to FYE21'!$D$31</definedName>
    <definedName name="QB_ROW_87331" localSheetId="1" hidden="1">'P&amp;L'!$D$30</definedName>
    <definedName name="QB_ROW_9021" localSheetId="0" hidden="1">'Balance Sheet'!$C$42</definedName>
    <definedName name="QB_ROW_9240" localSheetId="2" hidden="1">'Forecast to FYE21'!$E$18</definedName>
    <definedName name="QB_ROW_9240" localSheetId="1" hidden="1">'P&amp;L'!$E$18</definedName>
    <definedName name="QB_ROW_9321" localSheetId="0" hidden="1">'Balance Sheet'!$C$47</definedName>
    <definedName name="QB_ROW_93240" localSheetId="2" hidden="1">'Forecast to FYE21'!$E$47</definedName>
    <definedName name="QB_ROW_93240" localSheetId="1" hidden="1">'P&amp;L'!$E$46</definedName>
    <definedName name="QB_SUBTITLE_3" localSheetId="0" hidden="1">'Balance Sheet'!$A$3</definedName>
    <definedName name="QB_SUBTITLE_3" localSheetId="2" hidden="1">'Forecast to FYE21'!$A$3</definedName>
    <definedName name="QB_SUBTITLE_3" localSheetId="1" hidden="1">'P&amp;L'!$A$3</definedName>
    <definedName name="QB_TITLE_2" localSheetId="0" hidden="1">'Balance Sheet'!$A$2</definedName>
    <definedName name="QB_TITLE_2" localSheetId="2" hidden="1">'Forecast to FYE21'!$A$2</definedName>
    <definedName name="QB_TITLE_2" localSheetId="1" hidden="1">'P&amp;L'!$A$2</definedName>
    <definedName name="QBCANSUPPORTUPDATE" localSheetId="0">TRUE</definedName>
    <definedName name="QBCANSUPPORTUPDATE" localSheetId="2">TRUE</definedName>
    <definedName name="QBCANSUPPORTUPDATE" localSheetId="1">TRUE</definedName>
    <definedName name="QBCOMPANYFILENAME" localSheetId="0">"Q:\HabitatBuffalo.QBw"</definedName>
    <definedName name="QBCOMPANYFILENAME" localSheetId="2">"Q:\HabitatBuffalo.QBw"</definedName>
    <definedName name="QBCOMPANYFILENAME" localSheetId="1">"Q:\HabitatBuffalo.QBw"</definedName>
    <definedName name="QBENDDATE" localSheetId="0">20190630</definedName>
    <definedName name="QBENDDATE" localSheetId="2">20190630</definedName>
    <definedName name="QBENDDATE" localSheetId="1">20190630</definedName>
    <definedName name="QBHEADERSONSCREEN" localSheetId="0">TRUE</definedName>
    <definedName name="QBHEADERSONSCREEN" localSheetId="2">TRUE</definedName>
    <definedName name="QBHEADERSONSCREEN" localSheetId="1">TRUE</definedName>
    <definedName name="QBMETADATASIZE" localSheetId="0">5914</definedName>
    <definedName name="QBMETADATASIZE" localSheetId="2">5914</definedName>
    <definedName name="QBMETADATASIZE" localSheetId="1">5914</definedName>
    <definedName name="QBPRESERVECOLOR" localSheetId="0">TRUE</definedName>
    <definedName name="QBPRESERVECOLOR" localSheetId="2">TRUE</definedName>
    <definedName name="QBPRESERVECOLOR" localSheetId="1">TRUE</definedName>
    <definedName name="QBPRESERVEFONT" localSheetId="0">TRUE</definedName>
    <definedName name="QBPRESERVEFONT" localSheetId="2">TRUE</definedName>
    <definedName name="QBPRESERVEFONT" localSheetId="1">TRUE</definedName>
    <definedName name="QBPRESERVEROWHEIGHT" localSheetId="0">TRUE</definedName>
    <definedName name="QBPRESERVEROWHEIGHT" localSheetId="2">TRUE</definedName>
    <definedName name="QBPRESERVEROWHEIGHT" localSheetId="1">TRUE</definedName>
    <definedName name="QBPRESERVESPACE" localSheetId="0">FALSE</definedName>
    <definedName name="QBPRESERVESPACE" localSheetId="2">FALSE</definedName>
    <definedName name="QBPRESERVESPACE" localSheetId="1">FALSE</definedName>
    <definedName name="QBREPORTCOLAXIS" localSheetId="0">0</definedName>
    <definedName name="QBREPORTCOLAXIS" localSheetId="2">0</definedName>
    <definedName name="QBREPORTCOLAXIS" localSheetId="1">0</definedName>
    <definedName name="QBREPORTCOMPANYID" localSheetId="0">"3e1b5fb76b58424e86f012ce0c503c4f"</definedName>
    <definedName name="QBREPORTCOMPANYID" localSheetId="2">"3e1b5fb76b58424e86f012ce0c503c4f"</definedName>
    <definedName name="QBREPORTCOMPANYID" localSheetId="1">"3e1b5fb76b58424e86f012ce0c503c4f"</definedName>
    <definedName name="QBREPORTCOMPARECOL_ANNUALBUDGET" localSheetId="0">FALSE</definedName>
    <definedName name="QBREPORTCOMPARECOL_ANNUALBUDGET" localSheetId="2">FALSE</definedName>
    <definedName name="QBREPORTCOMPARECOL_ANNUALBUDGET" localSheetId="1">FALSE</definedName>
    <definedName name="QBREPORTCOMPARECOL_AVGCOGS" localSheetId="0">FALSE</definedName>
    <definedName name="QBREPORTCOMPARECOL_AVGCOGS" localSheetId="2">FALSE</definedName>
    <definedName name="QBREPORTCOMPARECOL_AVGCOGS" localSheetId="1">FALSE</definedName>
    <definedName name="QBREPORTCOMPARECOL_AVGPRICE" localSheetId="0">FALSE</definedName>
    <definedName name="QBREPORTCOMPARECOL_AVGPRICE" localSheetId="2">FALSE</definedName>
    <definedName name="QBREPORTCOMPARECOL_AVGPRICE" localSheetId="1">FALSE</definedName>
    <definedName name="QBREPORTCOMPARECOL_BUDDIFF" localSheetId="0">FALSE</definedName>
    <definedName name="QBREPORTCOMPARECOL_BUDDIFF" localSheetId="2">TRUE</definedName>
    <definedName name="QBREPORTCOMPARECOL_BUDDIFF" localSheetId="1">TRUE</definedName>
    <definedName name="QBREPORTCOMPARECOL_BUDGET" localSheetId="0">FALSE</definedName>
    <definedName name="QBREPORTCOMPARECOL_BUDGET" localSheetId="2">TRUE</definedName>
    <definedName name="QBREPORTCOMPARECOL_BUDGET" localSheetId="1">TRUE</definedName>
    <definedName name="QBREPORTCOMPARECOL_BUDPCT" localSheetId="0">FALSE</definedName>
    <definedName name="QBREPORTCOMPARECOL_BUDPCT" localSheetId="2">FALSE</definedName>
    <definedName name="QBREPORTCOMPARECOL_BUDPCT" localSheetId="1">FALSE</definedName>
    <definedName name="QBREPORTCOMPARECOL_COGS" localSheetId="0">FALSE</definedName>
    <definedName name="QBREPORTCOMPARECOL_COGS" localSheetId="2">FALSE</definedName>
    <definedName name="QBREPORTCOMPARECOL_COGS" localSheetId="1">FALSE</definedName>
    <definedName name="QBREPORTCOMPARECOL_EXCLUDEAMOUNT" localSheetId="0">FALSE</definedName>
    <definedName name="QBREPORTCOMPARECOL_EXCLUDEAMOUNT" localSheetId="2">FALSE</definedName>
    <definedName name="QBREPORTCOMPARECOL_EXCLUDEAMOUNT" localSheetId="1">FALSE</definedName>
    <definedName name="QBREPORTCOMPARECOL_EXCLUDECURPERIOD" localSheetId="0">FALSE</definedName>
    <definedName name="QBREPORTCOMPARECOL_EXCLUDECURPERIOD" localSheetId="2">FALSE</definedName>
    <definedName name="QBREPORTCOMPARECOL_EXCLUDECURPERIOD" localSheetId="1">FALSE</definedName>
    <definedName name="QBREPORTCOMPARECOL_FORECAST" localSheetId="0">FALSE</definedName>
    <definedName name="QBREPORTCOMPARECOL_FORECAST" localSheetId="2">FALSE</definedName>
    <definedName name="QBREPORTCOMPARECOL_FORECAST" localSheetId="1">FALSE</definedName>
    <definedName name="QBREPORTCOMPARECOL_GROSSMARGIN" localSheetId="0">FALSE</definedName>
    <definedName name="QBREPORTCOMPARECOL_GROSSMARGIN" localSheetId="2">FALSE</definedName>
    <definedName name="QBREPORTCOMPARECOL_GROSSMARGIN" localSheetId="1">FALSE</definedName>
    <definedName name="QBREPORTCOMPARECOL_GROSSMARGINPCT" localSheetId="0">FALSE</definedName>
    <definedName name="QBREPORTCOMPARECOL_GROSSMARGINPCT" localSheetId="2">FALSE</definedName>
    <definedName name="QBREPORTCOMPARECOL_GROSSMARGINPCT" localSheetId="1">FALSE</definedName>
    <definedName name="QBREPORTCOMPARECOL_HOURS" localSheetId="0">FALSE</definedName>
    <definedName name="QBREPORTCOMPARECOL_HOURS" localSheetId="2">FALSE</definedName>
    <definedName name="QBREPORTCOMPARECOL_HOURS" localSheetId="1">FALSE</definedName>
    <definedName name="QBREPORTCOMPARECOL_PCTCOL" localSheetId="0">FALSE</definedName>
    <definedName name="QBREPORTCOMPARECOL_PCTCOL" localSheetId="2">FALSE</definedName>
    <definedName name="QBREPORTCOMPARECOL_PCTCOL" localSheetId="1">FALSE</definedName>
    <definedName name="QBREPORTCOMPARECOL_PCTEXPENSE" localSheetId="0">FALSE</definedName>
    <definedName name="QBREPORTCOMPARECOL_PCTEXPENSE" localSheetId="2">FALSE</definedName>
    <definedName name="QBREPORTCOMPARECOL_PCTEXPENSE" localSheetId="1">FALSE</definedName>
    <definedName name="QBREPORTCOMPARECOL_PCTINCOME" localSheetId="0">FALSE</definedName>
    <definedName name="QBREPORTCOMPARECOL_PCTINCOME" localSheetId="2">FALSE</definedName>
    <definedName name="QBREPORTCOMPARECOL_PCTINCOME" localSheetId="1">FALSE</definedName>
    <definedName name="QBREPORTCOMPARECOL_PCTOFSALES" localSheetId="0">FALSE</definedName>
    <definedName name="QBREPORTCOMPARECOL_PCTOFSALES" localSheetId="2">FALSE</definedName>
    <definedName name="QBREPORTCOMPARECOL_PCTOFSALES" localSheetId="1">FALSE</definedName>
    <definedName name="QBREPORTCOMPARECOL_PCTROW" localSheetId="0">FALSE</definedName>
    <definedName name="QBREPORTCOMPARECOL_PCTROW" localSheetId="2">FALSE</definedName>
    <definedName name="QBREPORTCOMPARECOL_PCTROW" localSheetId="1">FALSE</definedName>
    <definedName name="QBREPORTCOMPARECOL_PPDIFF" localSheetId="0">TRUE</definedName>
    <definedName name="QBREPORTCOMPARECOL_PPDIFF" localSheetId="2">FALSE</definedName>
    <definedName name="QBREPORTCOMPARECOL_PPDIFF" localSheetId="1">FALSE</definedName>
    <definedName name="QBREPORTCOMPARECOL_PPPCT" localSheetId="0">FALSE</definedName>
    <definedName name="QBREPORTCOMPARECOL_PPPCT" localSheetId="2">FALSE</definedName>
    <definedName name="QBREPORTCOMPARECOL_PPPCT" localSheetId="1">FALSE</definedName>
    <definedName name="QBREPORTCOMPARECOL_PREVPERIOD" localSheetId="0">TRUE</definedName>
    <definedName name="QBREPORTCOMPARECOL_PREVPERIOD" localSheetId="2">FALSE</definedName>
    <definedName name="QBREPORTCOMPARECOL_PREVPERIOD" localSheetId="1">FALSE</definedName>
    <definedName name="QBREPORTCOMPARECOL_PREVYEAR" localSheetId="0">FALSE</definedName>
    <definedName name="QBREPORTCOMPARECOL_PREVYEAR" localSheetId="2">FALSE</definedName>
    <definedName name="QBREPORTCOMPARECOL_PREVYEAR" localSheetId="1">FALSE</definedName>
    <definedName name="QBREPORTCOMPARECOL_PYDIFF" localSheetId="0">FALSE</definedName>
    <definedName name="QBREPORTCOMPARECOL_PYDIFF" localSheetId="2">FALSE</definedName>
    <definedName name="QBREPORTCOMPARECOL_PYDIFF" localSheetId="1">FALSE</definedName>
    <definedName name="QBREPORTCOMPARECOL_PYPCT" localSheetId="0">FALSE</definedName>
    <definedName name="QBREPORTCOMPARECOL_PYPCT" localSheetId="2">FALSE</definedName>
    <definedName name="QBREPORTCOMPARECOL_PYPCT" localSheetId="1">FALSE</definedName>
    <definedName name="QBREPORTCOMPARECOL_QTY" localSheetId="0">FALSE</definedName>
    <definedName name="QBREPORTCOMPARECOL_QTY" localSheetId="2">FALSE</definedName>
    <definedName name="QBREPORTCOMPARECOL_QTY" localSheetId="1">FALSE</definedName>
    <definedName name="QBREPORTCOMPARECOL_RATE" localSheetId="0">FALSE</definedName>
    <definedName name="QBREPORTCOMPARECOL_RATE" localSheetId="2">FALSE</definedName>
    <definedName name="QBREPORTCOMPARECOL_RATE" localSheetId="1">FALSE</definedName>
    <definedName name="QBREPORTCOMPARECOL_TRIPBILLEDMILES" localSheetId="0">FALSE</definedName>
    <definedName name="QBREPORTCOMPARECOL_TRIPBILLEDMILES" localSheetId="2">FALSE</definedName>
    <definedName name="QBREPORTCOMPARECOL_TRIPBILLEDMILES" localSheetId="1">FALSE</definedName>
    <definedName name="QBREPORTCOMPARECOL_TRIPBILLINGAMOUNT" localSheetId="0">FALSE</definedName>
    <definedName name="QBREPORTCOMPARECOL_TRIPBILLINGAMOUNT" localSheetId="2">FALSE</definedName>
    <definedName name="QBREPORTCOMPARECOL_TRIPBILLINGAMOUNT" localSheetId="1">FALSE</definedName>
    <definedName name="QBREPORTCOMPARECOL_TRIPMILES" localSheetId="0">FALSE</definedName>
    <definedName name="QBREPORTCOMPARECOL_TRIPMILES" localSheetId="2">FALSE</definedName>
    <definedName name="QBREPORTCOMPARECOL_TRIPMILES" localSheetId="1">FALSE</definedName>
    <definedName name="QBREPORTCOMPARECOL_TRIPNOTBILLABLEMILES" localSheetId="0">FALSE</definedName>
    <definedName name="QBREPORTCOMPARECOL_TRIPNOTBILLABLEMILES" localSheetId="2">FALSE</definedName>
    <definedName name="QBREPORTCOMPARECOL_TRIPNOTBILLABLEMILES" localSheetId="1">FALSE</definedName>
    <definedName name="QBREPORTCOMPARECOL_TRIPTAXDEDUCTIBLEAMOUNT" localSheetId="0">FALSE</definedName>
    <definedName name="QBREPORTCOMPARECOL_TRIPTAXDEDUCTIBLEAMOUNT" localSheetId="2">FALSE</definedName>
    <definedName name="QBREPORTCOMPARECOL_TRIPTAXDEDUCTIBLEAMOUNT" localSheetId="1">FALSE</definedName>
    <definedName name="QBREPORTCOMPARECOL_TRIPUNBILLEDMILES" localSheetId="0">FALSE</definedName>
    <definedName name="QBREPORTCOMPARECOL_TRIPUNBILLEDMILES" localSheetId="2">FALSE</definedName>
    <definedName name="QBREPORTCOMPARECOL_TRIPUNBILLEDMILES" localSheetId="1">FALSE</definedName>
    <definedName name="QBREPORTCOMPARECOL_YTD" localSheetId="0">FALSE</definedName>
    <definedName name="QBREPORTCOMPARECOL_YTD" localSheetId="2">FALSE</definedName>
    <definedName name="QBREPORTCOMPARECOL_YTD" localSheetId="1">FALSE</definedName>
    <definedName name="QBREPORTCOMPARECOL_YTDBUDGET" localSheetId="0">FALSE</definedName>
    <definedName name="QBREPORTCOMPARECOL_YTDBUDGET" localSheetId="2">FALSE</definedName>
    <definedName name="QBREPORTCOMPARECOL_YTDBUDGET" localSheetId="1">FALSE</definedName>
    <definedName name="QBREPORTCOMPARECOL_YTDPCT" localSheetId="0">FALSE</definedName>
    <definedName name="QBREPORTCOMPARECOL_YTDPCT" localSheetId="2">FALSE</definedName>
    <definedName name="QBREPORTCOMPARECOL_YTDPCT" localSheetId="1">FALSE</definedName>
    <definedName name="QBREPORTROWAXIS" localSheetId="0">9</definedName>
    <definedName name="QBREPORTROWAXIS" localSheetId="2">11</definedName>
    <definedName name="QBREPORTROWAXIS" localSheetId="1">11</definedName>
    <definedName name="QBREPORTSUBCOLAXIS" localSheetId="0">24</definedName>
    <definedName name="QBREPORTSUBCOLAXIS" localSheetId="2">24</definedName>
    <definedName name="QBREPORTSUBCOLAXIS" localSheetId="1">24</definedName>
    <definedName name="QBREPORTTYPE" localSheetId="0">5</definedName>
    <definedName name="QBREPORTTYPE" localSheetId="2">288</definedName>
    <definedName name="QBREPORTTYPE" localSheetId="1">288</definedName>
    <definedName name="QBROWHEADERS" localSheetId="0">5</definedName>
    <definedName name="QBROWHEADERS" localSheetId="2">5</definedName>
    <definedName name="QBROWHEADERS" localSheetId="1">5</definedName>
    <definedName name="QBSTARTDATE" localSheetId="0">20180701</definedName>
    <definedName name="QBSTARTDATE" localSheetId="2">20180701</definedName>
    <definedName name="QBSTARTDATE" localSheetId="1">20180701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" l="1"/>
  <c r="H21" i="4"/>
  <c r="J20" i="4"/>
  <c r="H52" i="4"/>
  <c r="H11" i="4"/>
  <c r="F47" i="1" l="1"/>
  <c r="N10" i="2" l="1"/>
  <c r="N9" i="2"/>
  <c r="N8" i="2"/>
  <c r="J10" i="2"/>
  <c r="J9" i="2"/>
  <c r="J8" i="2"/>
  <c r="H8" i="4" l="1"/>
  <c r="J8" i="4"/>
  <c r="J9" i="4"/>
  <c r="H10" i="4"/>
  <c r="J10" i="4" s="1"/>
  <c r="J11" i="4"/>
  <c r="J12" i="4"/>
  <c r="J13" i="4"/>
  <c r="H14" i="4"/>
  <c r="J14" i="4" s="1"/>
  <c r="J15" i="4"/>
  <c r="J16" i="4"/>
  <c r="J17" i="4"/>
  <c r="J18" i="4"/>
  <c r="F19" i="4"/>
  <c r="J19" i="4" s="1"/>
  <c r="J24" i="4"/>
  <c r="J26" i="4"/>
  <c r="J27" i="4"/>
  <c r="J28" i="4"/>
  <c r="J29" i="4"/>
  <c r="J30" i="4"/>
  <c r="F31" i="4"/>
  <c r="F35" i="4"/>
  <c r="J35" i="4" s="1"/>
  <c r="J36" i="4"/>
  <c r="J37" i="4"/>
  <c r="J38" i="4"/>
  <c r="J39" i="4"/>
  <c r="J40" i="4"/>
  <c r="F41" i="4"/>
  <c r="H41" i="4"/>
  <c r="F42" i="4"/>
  <c r="H42" i="4"/>
  <c r="J42" i="4"/>
  <c r="J43" i="4"/>
  <c r="J44" i="4"/>
  <c r="F45" i="4"/>
  <c r="H45" i="4"/>
  <c r="F46" i="4"/>
  <c r="J46" i="4" s="1"/>
  <c r="H46" i="4"/>
  <c r="J47" i="4"/>
  <c r="J48" i="4"/>
  <c r="F49" i="4"/>
  <c r="H49" i="4"/>
  <c r="J50" i="4"/>
  <c r="J51" i="4"/>
  <c r="F52" i="4"/>
  <c r="J52" i="4" s="1"/>
  <c r="F53" i="4"/>
  <c r="J53" i="4" s="1"/>
  <c r="J54" i="4"/>
  <c r="H55" i="4" l="1"/>
  <c r="J41" i="4"/>
  <c r="J49" i="4"/>
  <c r="J45" i="4"/>
  <c r="J55" i="4" s="1"/>
  <c r="F55" i="4"/>
  <c r="H25" i="4"/>
  <c r="F21" i="4"/>
  <c r="F32" i="4" s="1"/>
  <c r="H31" i="4" l="1"/>
  <c r="H32" i="4" s="1"/>
  <c r="H56" i="4" s="1"/>
  <c r="J25" i="4"/>
  <c r="J31" i="4" s="1"/>
  <c r="J32" i="4" s="1"/>
  <c r="J56" i="4" s="1"/>
  <c r="F56" i="4"/>
  <c r="D16" i="3" l="1"/>
  <c r="D14" i="3"/>
  <c r="G57" i="1"/>
  <c r="C40" i="3" l="1"/>
  <c r="F44" i="3"/>
  <c r="D17" i="3"/>
  <c r="F17" i="3" s="1"/>
  <c r="E19" i="3"/>
  <c r="F19" i="3" s="1"/>
  <c r="C10" i="3"/>
  <c r="F10" i="3" s="1"/>
  <c r="F18" i="3"/>
  <c r="F16" i="3"/>
  <c r="F15" i="3"/>
  <c r="F14" i="3"/>
  <c r="F13" i="3"/>
  <c r="C11" i="3"/>
  <c r="F11" i="3" s="1"/>
  <c r="C9" i="3"/>
  <c r="F9" i="3" s="1"/>
  <c r="C8" i="3"/>
  <c r="N35" i="2" l="1"/>
  <c r="N36" i="2"/>
  <c r="J35" i="2"/>
  <c r="F33" i="3" l="1"/>
  <c r="F29" i="3"/>
  <c r="F30" i="3"/>
  <c r="F31" i="3"/>
  <c r="F32" i="3"/>
  <c r="F34" i="3"/>
  <c r="F35" i="3"/>
  <c r="F36" i="3"/>
  <c r="F37" i="3"/>
  <c r="F39" i="3"/>
  <c r="F40" i="3"/>
  <c r="G37" i="1" l="1"/>
  <c r="G23" i="1"/>
  <c r="G46" i="1"/>
  <c r="G36" i="1"/>
  <c r="G19" i="1"/>
  <c r="F45" i="3" l="1"/>
  <c r="E41" i="3"/>
  <c r="F28" i="3"/>
  <c r="F27" i="3"/>
  <c r="F25" i="3"/>
  <c r="C24" i="3"/>
  <c r="F24" i="3" s="1"/>
  <c r="E20" i="3"/>
  <c r="F8" i="3"/>
  <c r="D41" i="3" l="1"/>
  <c r="F26" i="3"/>
  <c r="D20" i="3"/>
  <c r="H45" i="1" l="1"/>
  <c r="N12" i="2" l="1"/>
  <c r="H36" i="1" l="1"/>
  <c r="J12" i="2"/>
  <c r="F54" i="2" l="1"/>
  <c r="L54" i="2" l="1"/>
  <c r="F56" i="1"/>
  <c r="H16" i="1"/>
  <c r="H8" i="1"/>
  <c r="H9" i="1"/>
  <c r="H11" i="1"/>
  <c r="H12" i="1"/>
  <c r="H13" i="1"/>
  <c r="H14" i="1"/>
  <c r="H18" i="1"/>
  <c r="H19" i="1"/>
  <c r="H20" i="1"/>
  <c r="F21" i="1"/>
  <c r="F25" i="1" s="1"/>
  <c r="G21" i="1"/>
  <c r="H23" i="1"/>
  <c r="H28" i="1"/>
  <c r="H32" i="1"/>
  <c r="F34" i="1"/>
  <c r="H33" i="1"/>
  <c r="G34" i="1"/>
  <c r="G38" i="1" s="1"/>
  <c r="H37" i="1"/>
  <c r="H43" i="1"/>
  <c r="H44" i="1"/>
  <c r="G47" i="1"/>
  <c r="H46" i="1"/>
  <c r="F50" i="1"/>
  <c r="H49" i="1"/>
  <c r="C38" i="3" s="1"/>
  <c r="H53" i="1"/>
  <c r="H54" i="1"/>
  <c r="H55" i="1"/>
  <c r="G56" i="1"/>
  <c r="F57" i="1" l="1"/>
  <c r="F38" i="3"/>
  <c r="F41" i="3" s="1"/>
  <c r="C41" i="3"/>
  <c r="H21" i="1"/>
  <c r="G25" i="1"/>
  <c r="G26" i="1" s="1"/>
  <c r="G39" i="1" s="1"/>
  <c r="H56" i="1"/>
  <c r="H47" i="1"/>
  <c r="G50" i="1"/>
  <c r="F38" i="1"/>
  <c r="H34" i="1"/>
  <c r="F61" i="2"/>
  <c r="F62" i="2" s="1"/>
  <c r="N13" i="2"/>
  <c r="N14" i="2"/>
  <c r="N15" i="2"/>
  <c r="N16" i="2"/>
  <c r="N17" i="2"/>
  <c r="N18" i="2"/>
  <c r="N19" i="2"/>
  <c r="N23" i="2"/>
  <c r="N24" i="2"/>
  <c r="N25" i="2"/>
  <c r="N26" i="2"/>
  <c r="N27" i="2"/>
  <c r="N28" i="2"/>
  <c r="N29" i="2"/>
  <c r="N34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9" i="2"/>
  <c r="N60" i="2"/>
  <c r="N11" i="2"/>
  <c r="J11" i="2"/>
  <c r="J13" i="2"/>
  <c r="J14" i="2"/>
  <c r="J15" i="2"/>
  <c r="J16" i="2"/>
  <c r="J17" i="2"/>
  <c r="J18" i="2"/>
  <c r="J19" i="2"/>
  <c r="F20" i="2"/>
  <c r="H20" i="2"/>
  <c r="L20" i="2"/>
  <c r="J23" i="2"/>
  <c r="J24" i="2"/>
  <c r="J25" i="2"/>
  <c r="J26" i="2"/>
  <c r="J27" i="2"/>
  <c r="J28" i="2"/>
  <c r="J29" i="2"/>
  <c r="F30" i="2"/>
  <c r="H30" i="2"/>
  <c r="L30" i="2"/>
  <c r="J34" i="2"/>
  <c r="J36" i="2"/>
  <c r="J37" i="2"/>
  <c r="J38" i="2"/>
  <c r="J39" i="2"/>
  <c r="J40" i="2"/>
  <c r="J41" i="2"/>
  <c r="J42" i="2"/>
  <c r="J44" i="2"/>
  <c r="J45" i="2"/>
  <c r="J46" i="2"/>
  <c r="J47" i="2"/>
  <c r="J48" i="2"/>
  <c r="J49" i="2"/>
  <c r="J50" i="2"/>
  <c r="J51" i="2"/>
  <c r="J52" i="2"/>
  <c r="J53" i="2"/>
  <c r="H54" i="2"/>
  <c r="J59" i="2"/>
  <c r="J60" i="2"/>
  <c r="H61" i="2"/>
  <c r="H62" i="2" s="1"/>
  <c r="L61" i="2"/>
  <c r="L62" i="2" s="1"/>
  <c r="H38" i="1" l="1"/>
  <c r="F26" i="1"/>
  <c r="H26" i="1" s="1"/>
  <c r="H25" i="1"/>
  <c r="H50" i="1"/>
  <c r="H57" i="1" s="1"/>
  <c r="H31" i="2"/>
  <c r="H55" i="2" s="1"/>
  <c r="H64" i="2" s="1"/>
  <c r="J61" i="2"/>
  <c r="N62" i="2"/>
  <c r="J62" i="2"/>
  <c r="J30" i="2"/>
  <c r="L31" i="2"/>
  <c r="L55" i="2" s="1"/>
  <c r="L64" i="2" s="1"/>
  <c r="F31" i="2"/>
  <c r="J54" i="2"/>
  <c r="J20" i="2"/>
  <c r="N20" i="2"/>
  <c r="N61" i="2"/>
  <c r="N54" i="2"/>
  <c r="N30" i="2"/>
  <c r="F39" i="1" l="1"/>
  <c r="H39" i="1" s="1"/>
  <c r="N31" i="2"/>
  <c r="J31" i="2"/>
  <c r="F55" i="2"/>
  <c r="F64" i="2" s="1"/>
  <c r="J64" i="2" l="1"/>
  <c r="C12" i="3"/>
  <c r="N64" i="2"/>
  <c r="J55" i="2"/>
  <c r="N55" i="2"/>
  <c r="F12" i="3" l="1"/>
  <c r="F20" i="3" s="1"/>
  <c r="C20" i="3"/>
</calcChain>
</file>

<file path=xl/sharedStrings.xml><?xml version="1.0" encoding="utf-8"?>
<sst xmlns="http://schemas.openxmlformats.org/spreadsheetml/2006/main" count="267" uniqueCount="213">
  <si>
    <t>Habitat for Humanity-Buffalo, Inc.</t>
  </si>
  <si>
    <t>Balance Sheet</t>
  </si>
  <si>
    <t>$ Change</t>
  </si>
  <si>
    <t>ASSETS</t>
  </si>
  <si>
    <t>Current Assets</t>
  </si>
  <si>
    <t>Checking/Savings</t>
  </si>
  <si>
    <t>Accounts Receivable</t>
  </si>
  <si>
    <t>Other Current Assets</t>
  </si>
  <si>
    <t>Marketable Securities</t>
  </si>
  <si>
    <t>Mortgage Receivables, Current</t>
  </si>
  <si>
    <t>Prepaid expenses</t>
  </si>
  <si>
    <t>Construction In Progress</t>
  </si>
  <si>
    <t>Properties Held For Development</t>
  </si>
  <si>
    <t>Projects In Production</t>
  </si>
  <si>
    <t>Properties Held for Sale</t>
  </si>
  <si>
    <t>Total Construction In Progress</t>
  </si>
  <si>
    <t>Deposits in Transit, NW Prin.</t>
  </si>
  <si>
    <t>Total Other Current Assets</t>
  </si>
  <si>
    <t>Total Current Assets</t>
  </si>
  <si>
    <t>Fixed Assets</t>
  </si>
  <si>
    <t>Other Assets</t>
  </si>
  <si>
    <t>Mortgage Receivable, LT portion</t>
  </si>
  <si>
    <t>Mortgages Recievable</t>
  </si>
  <si>
    <t>Unamort Mortgage Disc</t>
  </si>
  <si>
    <t>Total Mortgage Receivable, LT portion</t>
  </si>
  <si>
    <t>Mortgage Costs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</si>
  <si>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</si>
  <si>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</si>
  <si>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</si>
  <si>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</si>
  <si>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</si>
  <si>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</si>
  <si>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Credit Cards</t>
  </si>
  <si>
    <t>Other Current Liabilities</t>
  </si>
  <si>
    <t>Total Current Liabilities</t>
  </si>
  <si>
    <t>Long Term Liabilities</t>
  </si>
  <si>
    <t>Total Liabilities</t>
  </si>
  <si>
    <t>Equity</t>
  </si>
  <si>
    <t>Donor Restricted Net Assets</t>
  </si>
  <si>
    <t>Retained Earnings</t>
  </si>
  <si>
    <t>Net Income</t>
  </si>
  <si>
    <t>Total Equity</t>
  </si>
  <si>
    <t>TOTAL LIABILITIES &amp; EQUITY</t>
  </si>
  <si>
    <t>Net Other Income</t>
  </si>
  <si>
    <t>Total Other Expense</t>
  </si>
  <si>
    <t>Depreciation Expense</t>
  </si>
  <si>
    <t>Interest Expense</t>
  </si>
  <si>
    <t>Other Expense</t>
  </si>
  <si>
    <t>Other Income/Expense</t>
  </si>
  <si>
    <t>Net Ordinary Income</t>
  </si>
  <si>
    <t>Total Expense</t>
  </si>
  <si>
    <t>Volunteer Appreciation</t>
  </si>
  <si>
    <t>Vehicle Expense</t>
  </si>
  <si>
    <t>Supplies/Equipment</t>
  </si>
  <si>
    <t>Service Fees</t>
  </si>
  <si>
    <t>Professional Fees</t>
  </si>
  <si>
    <t>Professional Development</t>
  </si>
  <si>
    <t>Postage</t>
  </si>
  <si>
    <t>PEO Fees</t>
  </si>
  <si>
    <t>Payroll Taxes &amp; Benefits</t>
  </si>
  <si>
    <t>Payroll Salary &amp; Wages</t>
  </si>
  <si>
    <t>Meals &amp; Entertainment</t>
  </si>
  <si>
    <t>Licenses and Permits</t>
  </si>
  <si>
    <t>Insurance</t>
  </si>
  <si>
    <t>Facilities</t>
  </si>
  <si>
    <t>Dues &amp; Subscriptions</t>
  </si>
  <si>
    <t>Credit Reports &amp; Family Ed</t>
  </si>
  <si>
    <t>Affiliate Fees &amp; Tithes</t>
  </si>
  <si>
    <t>Advertising &amp; Marketing</t>
  </si>
  <si>
    <t>Expense</t>
  </si>
  <si>
    <t>Gross Profit</t>
  </si>
  <si>
    <t>Other Direct Program Expense</t>
  </si>
  <si>
    <t>Credit Card Fees</t>
  </si>
  <si>
    <t>Direct Fundraising Expense</t>
  </si>
  <si>
    <t>Discount on Mortgages Issued</t>
  </si>
  <si>
    <t>Direct Construction Costs</t>
  </si>
  <si>
    <t>Total Income</t>
  </si>
  <si>
    <t>Investment &amp; Other Income</t>
  </si>
  <si>
    <t>Fundraising Event Income</t>
  </si>
  <si>
    <t>Gifts in Kind</t>
  </si>
  <si>
    <t>Mortgage Program Income</t>
  </si>
  <si>
    <t>Contributions</t>
  </si>
  <si>
    <t>Grants</t>
  </si>
  <si>
    <t>ReStore Fundraising</t>
  </si>
  <si>
    <t>Income</t>
  </si>
  <si>
    <t>Ordinary Income/Expense</t>
  </si>
  <si>
    <t>Budget</t>
  </si>
  <si>
    <t>$ +/- Budget</t>
  </si>
  <si>
    <t>$ +/- Prior Year</t>
  </si>
  <si>
    <t>Unamortized Mortg Dis, Current</t>
  </si>
  <si>
    <t>Board Expense</t>
  </si>
  <si>
    <t>ReStore Merchandise Purchases</t>
  </si>
  <si>
    <t>Direct Costs</t>
  </si>
  <si>
    <t>Total Direct Costs</t>
  </si>
  <si>
    <t>Profit &amp; Loss Budget vs. Actual vs. Prior Year</t>
  </si>
  <si>
    <t>ReStore Purchased Inventory</t>
  </si>
  <si>
    <t>Home Repair Loans</t>
  </si>
  <si>
    <t>Critical Home Repair</t>
  </si>
  <si>
    <t>Home Repair Cost Recovery</t>
  </si>
  <si>
    <t>Jun 30, 20</t>
  </si>
  <si>
    <t>SBA Payroll Protection Program</t>
  </si>
  <si>
    <t>Habitat for Humanity Buffalo</t>
  </si>
  <si>
    <t xml:space="preserve">Summarized P&amp;L and Cash Flow </t>
  </si>
  <si>
    <t>Function</t>
  </si>
  <si>
    <t>Project Hard Costs</t>
  </si>
  <si>
    <t>Total</t>
  </si>
  <si>
    <t>Profit &amp; Loss</t>
  </si>
  <si>
    <t>Restore Fundraising</t>
  </si>
  <si>
    <t>Mortgage Principle Income</t>
  </si>
  <si>
    <t>Other Income</t>
  </si>
  <si>
    <t>Grants and Contributions</t>
  </si>
  <si>
    <t>Operating Expenses</t>
  </si>
  <si>
    <t>Construction Grants and Contributions</t>
  </si>
  <si>
    <t>Income From Mortgage Sales</t>
  </si>
  <si>
    <t>Sales/Transfers to Homeowner</t>
  </si>
  <si>
    <t>Discounts on Mortgage Issued</t>
  </si>
  <si>
    <t>Direct Cash Flow</t>
  </si>
  <si>
    <t>Cash flows from operating activity</t>
  </si>
  <si>
    <t>Cash Received from Restore</t>
  </si>
  <si>
    <t>Cash Received from Mortgage Principle</t>
  </si>
  <si>
    <t>Cash Received from Other Income</t>
  </si>
  <si>
    <t>Cash Received from Grants &amp; Contributions</t>
  </si>
  <si>
    <t>Cash paid for operating actvity</t>
  </si>
  <si>
    <t>Cash received from Mortgage Sales</t>
  </si>
  <si>
    <t>Cash Paid for Project Hard Costs</t>
  </si>
  <si>
    <t>Cash Received from Home Sales</t>
  </si>
  <si>
    <t>Cash flows from investing activity</t>
  </si>
  <si>
    <t>Cash Paid for Fixed Asset Additions</t>
  </si>
  <si>
    <t>Cash flows from financing activities</t>
  </si>
  <si>
    <t>Cash received for SBA PPP loan</t>
  </si>
  <si>
    <t>Cash paid to reduce LT debt</t>
  </si>
  <si>
    <t>Cash paid to reduce Current debt</t>
  </si>
  <si>
    <t>Cash paid for interest expense on total debt</t>
  </si>
  <si>
    <t>Increase/Decrease in Cash</t>
  </si>
  <si>
    <t>Beginning Cash Balance</t>
  </si>
  <si>
    <t>Ending Cash Balance</t>
  </si>
  <si>
    <t>Mortgage Lending</t>
  </si>
  <si>
    <t>Operations</t>
  </si>
  <si>
    <t>Construction Contracts</t>
  </si>
  <si>
    <t>Mortgaged Home Sales</t>
  </si>
  <si>
    <t>Home Sales</t>
  </si>
  <si>
    <t>Income from Construction Contracts</t>
  </si>
  <si>
    <t>Cash Received from Construction Contracts</t>
  </si>
  <si>
    <t>Sale of Existing Mortgages</t>
  </si>
  <si>
    <t>Advocacy Activities</t>
  </si>
  <si>
    <t>Cash From Construction Grants and Contributions</t>
  </si>
  <si>
    <t>Budgeted sale of $1.2million.  Variance due to timing</t>
  </si>
  <si>
    <t>Two homes sold using SONYMA mortgages held by M&amp;T Bank through Federal Home Loan Bank Program. In budget as mortgaged home sales.</t>
  </si>
  <si>
    <t>Notes</t>
  </si>
  <si>
    <t>Contract to rehabilitate home with Matt Urban funding through CHDO ($164k total)</t>
  </si>
  <si>
    <t xml:space="preserve">Variance due to timing of corportate contrubutions &amp; better than expected results in individual giving. </t>
  </si>
  <si>
    <t>Ties to Net Profit</t>
  </si>
  <si>
    <t>Ties to Cash</t>
  </si>
  <si>
    <t xml:space="preserve"> </t>
  </si>
  <si>
    <t>Five homes sold with mortgages to be held by HFHB. Variance due to timing (14 homes budgeted to sell in Q1)</t>
  </si>
  <si>
    <t>No projects completed</t>
  </si>
  <si>
    <t>ACH, AHP revenue recognized for homes closed year to date</t>
  </si>
  <si>
    <t xml:space="preserve">Budget assumed 50% reduction in mortgage receipts.  We have not seen a reduction in receipts.  </t>
  </si>
  <si>
    <t>Seven homes sold FYTD.  Variance due to timing (14 homes budgeted to sell in Q1)</t>
  </si>
  <si>
    <t>Five homes sold with mortgages to be held by HFHB. Variance due to timing and the unbudget SONYMA home sales</t>
  </si>
  <si>
    <t>South store is $63k over prior years sales year to date!  Wow! North Store remains closed</t>
  </si>
  <si>
    <t xml:space="preserve">Notes  </t>
  </si>
  <si>
    <t>See Projected Payroll</t>
  </si>
  <si>
    <t>$25k HFHI fee, $5k HFHNY fee, 10% of unrestricted net contributions.</t>
  </si>
  <si>
    <t>Cost of events &amp; sponsorships</t>
  </si>
  <si>
    <t>Cost of ten home repairs.</t>
  </si>
  <si>
    <t>Based on home selling schedule.  Calculation formula:  Mortgage - Present Value(HFHI provides discount rate).</t>
  </si>
  <si>
    <t>8 New Built &amp; 6 Rehabs scheduled to close in Q1. No other closings.</t>
  </si>
  <si>
    <t>Hammers &amp; Ales, Women's Build, Leadersbuild, Building on Faith</t>
  </si>
  <si>
    <t>50% of current principle payments through December.  Selling $2.4 million in September.  Adding 14 new mortgages.</t>
  </si>
  <si>
    <t>Down 28% from prior year</t>
  </si>
  <si>
    <t>14 ACH @ $28k ea, 5 FHLB @ $30k ea, 12Nat Fuel @ $5100 ea</t>
  </si>
  <si>
    <t>50% down Prior 12 months for July- Dec, 25% down for Jan-Mar, flat for Apr-Jun.</t>
  </si>
  <si>
    <t>Ten critical home repair projects would be completed and reimbursed to us by arranging for no interest loans.</t>
  </si>
  <si>
    <t>Sale of Homes</t>
  </si>
  <si>
    <t>14 homes sold and mortgaged through HFHB</t>
  </si>
  <si>
    <t>$2.4 million of mortgages sold at a rate of 5-10 pr month through December</t>
  </si>
  <si>
    <t>$2.4 million of mortgages would be sold in Septemeber with recognized revenue of $863k.</t>
  </si>
  <si>
    <t>Sale of Mortgages</t>
  </si>
  <si>
    <t>Notes for FYE21  Forecast</t>
  </si>
  <si>
    <t>FYE21 Budget Assumptions</t>
  </si>
  <si>
    <t xml:space="preserve">$ +/-  </t>
  </si>
  <si>
    <t>FYE21 Forecast</t>
  </si>
  <si>
    <t>Profit &amp; Loss Budget to FYE21 Forecast</t>
  </si>
  <si>
    <t>As of February 28, 2021</t>
  </si>
  <si>
    <t>Feb 28, 21</t>
  </si>
  <si>
    <t>Jul '20 - Feb '21</t>
  </si>
  <si>
    <t>Jul '19 -Feb 20 '</t>
  </si>
  <si>
    <t>July 2020 through Feb 2021</t>
  </si>
  <si>
    <t>Income From Home Sales</t>
  </si>
  <si>
    <t>For the FYE21 To Date Feb 28</t>
  </si>
  <si>
    <t xml:space="preserve"> As of 2/28/21</t>
  </si>
  <si>
    <t>134 Woodell CHDO, and Fruit Belt agreement have closed in March so this number will signficantly change in April's report</t>
  </si>
  <si>
    <t xml:space="preserve">2 homes sold through SONYMA were budgeted but 5 homes will be actually sold </t>
  </si>
  <si>
    <t>50% recovery expected due to construction manager changes</t>
  </si>
  <si>
    <t>New projections are based on better than predicted COVID sales</t>
  </si>
  <si>
    <t>14 AHC @ $28k ea, 5 FHLB @ $30k ea, 12Nat Fuel @ $5100 ea</t>
  </si>
  <si>
    <t>New projections are based on better than predicted COVID donations</t>
  </si>
  <si>
    <t>Slightly better than budgeted mortgage receipts during COVID</t>
  </si>
  <si>
    <t>50% reduction in donations (i.e. Whirlpool)</t>
  </si>
  <si>
    <t>New projects are based on virtual events performing better than predicted</t>
  </si>
  <si>
    <t>Portfolio performed better than anticipated</t>
  </si>
  <si>
    <t>Increase in material costs and hired labor through contractors</t>
  </si>
  <si>
    <t>Repair Program paused to assist construction activities</t>
  </si>
  <si>
    <t xml:space="preserve">ReStore Billboards </t>
  </si>
  <si>
    <t>Paused Family Services Education Program</t>
  </si>
  <si>
    <t>Undesignated gifts increased increasing percetage to go to tithes</t>
  </si>
  <si>
    <t>Hired outside professionals to subsidize reduced volunteer/staff support</t>
  </si>
  <si>
    <t>Fees tied to increased ReStore credit card sales and online donations</t>
  </si>
  <si>
    <t>Larger repair bills on truck. Will need to retire 2 vehicles in next captial budget.</t>
  </si>
  <si>
    <t>No outside retreats due to COVID</t>
  </si>
  <si>
    <t>PPP Loan</t>
  </si>
  <si>
    <t>First PPP Loan Forgiven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</si>
</sst>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0%"/>
  </numFmts>
  <fonts count="2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8"/>
      <name val="Calibri"/>
      <family val="2"/>
      <scheme val="minor"/>
    </font>
    <font>
      <b/>
      <i/>
      <sz val="12"/>
      <color theme="8"/>
      <name val="Calibri"/>
      <family val="2"/>
      <scheme val="minor"/>
    </font>
    <font>
      <b/>
      <sz val="12"/>
      <color theme="8"/>
      <name val="Calibri"/>
      <family val="2"/>
      <scheme val="minor"/>
    </font>
    <font>
      <i/>
      <sz val="11"/>
      <color theme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Font="1"/>
    <xf numFmtId="49" fontId="1" fillId="0" borderId="0" xfId="0" applyNumberFormat="1" applyFont="1"/>
    <xf numFmtId="49" fontId="0" fillId="0" borderId="0" xfId="0" applyNumberFormat="1" applyFont="1" applyBorder="1" applyAlignment="1">
      <alignment horizontal="centerContinuous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9" fontId="2" fillId="0" borderId="0" xfId="0" applyNumberFormat="1" applyFont="1"/>
    <xf numFmtId="39" fontId="2" fillId="0" borderId="0" xfId="0" applyNumberFormat="1" applyFont="1" applyBorder="1"/>
    <xf numFmtId="0" fontId="1" fillId="0" borderId="0" xfId="0" applyFont="1"/>
    <xf numFmtId="0" fontId="1" fillId="0" borderId="0" xfId="0" applyNumberFormat="1" applyFont="1"/>
    <xf numFmtId="0" fontId="0" fillId="0" borderId="0" xfId="0" applyNumberFormat="1" applyFont="1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NumberFormat="1" applyFont="1"/>
    <xf numFmtId="39" fontId="1" fillId="0" borderId="0" xfId="0" applyNumberFormat="1" applyFont="1"/>
    <xf numFmtId="39" fontId="3" fillId="0" borderId="0" xfId="0" applyNumberFormat="1" applyFont="1"/>
    <xf numFmtId="49" fontId="4" fillId="0" borderId="0" xfId="0" applyNumberFormat="1" applyFont="1"/>
    <xf numFmtId="49" fontId="5" fillId="0" borderId="0" xfId="0" applyNumberFormat="1" applyFont="1"/>
    <xf numFmtId="0" fontId="5" fillId="0" borderId="0" xfId="0" applyFont="1"/>
    <xf numFmtId="39" fontId="5" fillId="0" borderId="0" xfId="0" applyNumberFormat="1" applyFont="1"/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39" fontId="1" fillId="0" borderId="0" xfId="0" applyNumberFormat="1" applyFont="1" applyBorder="1"/>
    <xf numFmtId="37" fontId="2" fillId="0" borderId="0" xfId="0" applyNumberFormat="1" applyFont="1"/>
    <xf numFmtId="37" fontId="1" fillId="0" borderId="0" xfId="0" applyNumberFormat="1" applyFont="1"/>
    <xf numFmtId="37" fontId="2" fillId="0" borderId="3" xfId="0" applyNumberFormat="1" applyFont="1" applyBorder="1"/>
    <xf numFmtId="37" fontId="5" fillId="0" borderId="0" xfId="0" applyNumberFormat="1" applyFont="1"/>
    <xf numFmtId="37" fontId="2" fillId="0" borderId="0" xfId="0" applyNumberFormat="1" applyFont="1" applyBorder="1"/>
    <xf numFmtId="37" fontId="2" fillId="0" borderId="5" xfId="0" applyNumberFormat="1" applyFont="1" applyBorder="1"/>
    <xf numFmtId="37" fontId="1" fillId="0" borderId="4" xfId="0" applyNumberFormat="1" applyFont="1" applyBorder="1"/>
    <xf numFmtId="37" fontId="2" fillId="0" borderId="2" xfId="0" applyNumberFormat="1" applyFont="1" applyBorder="1"/>
    <xf numFmtId="49" fontId="14" fillId="0" borderId="1" xfId="0" applyNumberFormat="1" applyFont="1" applyBorder="1" applyAlignment="1">
      <alignment horizontal="center"/>
    </xf>
    <xf numFmtId="37" fontId="5" fillId="0" borderId="2" xfId="0" applyNumberFormat="1" applyFont="1" applyBorder="1"/>
    <xf numFmtId="39" fontId="5" fillId="0" borderId="0" xfId="0" applyNumberFormat="1" applyFont="1" applyBorder="1"/>
    <xf numFmtId="0" fontId="15" fillId="0" borderId="0" xfId="0" applyFont="1"/>
    <xf numFmtId="49" fontId="16" fillId="0" borderId="0" xfId="0" applyNumberFormat="1" applyFont="1"/>
    <xf numFmtId="49" fontId="6" fillId="0" borderId="0" xfId="0" applyNumberFormat="1" applyFont="1" applyFill="1" applyAlignment="1">
      <alignment horizontal="center"/>
    </xf>
    <xf numFmtId="0" fontId="13" fillId="0" borderId="0" xfId="0" applyFont="1" applyFill="1"/>
    <xf numFmtId="0" fontId="7" fillId="0" borderId="0" xfId="0" applyFont="1" applyFill="1"/>
    <xf numFmtId="49" fontId="6" fillId="0" borderId="0" xfId="0" applyNumberFormat="1" applyFont="1" applyFill="1"/>
    <xf numFmtId="49" fontId="7" fillId="0" borderId="0" xfId="0" applyNumberFormat="1" applyFont="1" applyFill="1" applyBorder="1" applyAlignment="1">
      <alignment horizontal="centerContinuous"/>
    </xf>
    <xf numFmtId="49" fontId="8" fillId="0" borderId="0" xfId="0" applyNumberFormat="1" applyFont="1" applyFill="1" applyBorder="1" applyAlignment="1">
      <alignment horizontal="centerContinuous"/>
    </xf>
    <xf numFmtId="0" fontId="8" fillId="0" borderId="0" xfId="0" applyFont="1" applyFill="1"/>
    <xf numFmtId="49" fontId="6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9" fontId="10" fillId="0" borderId="0" xfId="0" applyNumberFormat="1" applyFont="1" applyFill="1"/>
    <xf numFmtId="39" fontId="11" fillId="0" borderId="0" xfId="0" applyNumberFormat="1" applyFont="1" applyFill="1"/>
    <xf numFmtId="37" fontId="10" fillId="0" borderId="0" xfId="0" applyNumberFormat="1" applyFont="1" applyFill="1"/>
    <xf numFmtId="37" fontId="11" fillId="0" borderId="0" xfId="0" applyNumberFormat="1" applyFont="1" applyFill="1"/>
    <xf numFmtId="37" fontId="10" fillId="0" borderId="2" xfId="0" applyNumberFormat="1" applyFont="1" applyFill="1" applyBorder="1"/>
    <xf numFmtId="37" fontId="11" fillId="0" borderId="2" xfId="0" applyNumberFormat="1" applyFont="1" applyFill="1" applyBorder="1"/>
    <xf numFmtId="37" fontId="10" fillId="0" borderId="0" xfId="0" applyNumberFormat="1" applyFont="1" applyFill="1" applyBorder="1"/>
    <xf numFmtId="37" fontId="11" fillId="0" borderId="0" xfId="0" applyNumberFormat="1" applyFont="1" applyFill="1" applyBorder="1"/>
    <xf numFmtId="37" fontId="10" fillId="0" borderId="3" xfId="0" applyNumberFormat="1" applyFont="1" applyFill="1" applyBorder="1"/>
    <xf numFmtId="37" fontId="11" fillId="0" borderId="3" xfId="0" applyNumberFormat="1" applyFont="1" applyFill="1" applyBorder="1"/>
    <xf numFmtId="37" fontId="7" fillId="0" borderId="0" xfId="0" applyNumberFormat="1" applyFont="1" applyFill="1"/>
    <xf numFmtId="37" fontId="10" fillId="0" borderId="5" xfId="0" applyNumberFormat="1" applyFont="1" applyFill="1" applyBorder="1"/>
    <xf numFmtId="37" fontId="11" fillId="0" borderId="5" xfId="0" applyNumberFormat="1" applyFont="1" applyFill="1" applyBorder="1"/>
    <xf numFmtId="37" fontId="6" fillId="0" borderId="4" xfId="0" applyNumberFormat="1" applyFont="1" applyFill="1" applyBorder="1"/>
    <xf numFmtId="37" fontId="9" fillId="0" borderId="4" xfId="0" applyNumberFormat="1" applyFont="1" applyFill="1" applyBorder="1"/>
    <xf numFmtId="0" fontId="12" fillId="0" borderId="0" xfId="0" applyFont="1" applyFill="1"/>
    <xf numFmtId="0" fontId="6" fillId="0" borderId="0" xfId="0" applyFont="1" applyFill="1"/>
    <xf numFmtId="0" fontId="6" fillId="0" borderId="0" xfId="0" applyNumberFormat="1" applyFont="1" applyFill="1"/>
    <xf numFmtId="0" fontId="7" fillId="0" borderId="0" xfId="0" applyNumberFormat="1" applyFont="1" applyFill="1"/>
    <xf numFmtId="0" fontId="8" fillId="0" borderId="0" xfId="0" applyNumberFormat="1" applyFont="1" applyFill="1"/>
    <xf numFmtId="49" fontId="9" fillId="2" borderId="1" xfId="0" applyNumberFormat="1" applyFont="1" applyFill="1" applyBorder="1" applyAlignment="1">
      <alignment horizontal="center"/>
    </xf>
    <xf numFmtId="39" fontId="11" fillId="2" borderId="0" xfId="0" applyNumberFormat="1" applyFont="1" applyFill="1"/>
    <xf numFmtId="37" fontId="11" fillId="2" borderId="0" xfId="0" applyNumberFormat="1" applyFont="1" applyFill="1"/>
    <xf numFmtId="37" fontId="11" fillId="2" borderId="2" xfId="0" applyNumberFormat="1" applyFont="1" applyFill="1" applyBorder="1"/>
    <xf numFmtId="37" fontId="11" fillId="2" borderId="0" xfId="0" applyNumberFormat="1" applyFont="1" applyFill="1" applyBorder="1"/>
    <xf numFmtId="37" fontId="11" fillId="2" borderId="3" xfId="0" applyNumberFormat="1" applyFont="1" applyFill="1" applyBorder="1"/>
    <xf numFmtId="37" fontId="11" fillId="2" borderId="5" xfId="0" applyNumberFormat="1" applyFont="1" applyFill="1" applyBorder="1"/>
    <xf numFmtId="37" fontId="9" fillId="2" borderId="4" xfId="0" applyNumberFormat="1" applyFont="1" applyFill="1" applyBorder="1"/>
    <xf numFmtId="49" fontId="12" fillId="0" borderId="0" xfId="0" applyNumberFormat="1" applyFont="1" applyFill="1" applyAlignment="1">
      <alignment horizontal="left"/>
    </xf>
    <xf numFmtId="0" fontId="15" fillId="4" borderId="0" xfId="0" applyFont="1" applyFill="1" applyAlignment="1">
      <alignment horizontal="center"/>
    </xf>
    <xf numFmtId="0" fontId="20" fillId="0" borderId="0" xfId="0" applyFont="1"/>
    <xf numFmtId="164" fontId="0" fillId="0" borderId="0" xfId="1" applyNumberFormat="1" applyFont="1"/>
    <xf numFmtId="165" fontId="15" fillId="0" borderId="6" xfId="2" applyNumberFormat="1" applyFont="1" applyBorder="1"/>
    <xf numFmtId="165" fontId="15" fillId="0" borderId="0" xfId="2" applyNumberFormat="1" applyFont="1" applyFill="1" applyBorder="1"/>
    <xf numFmtId="44" fontId="0" fillId="0" borderId="0" xfId="0" applyNumberFormat="1"/>
    <xf numFmtId="164" fontId="0" fillId="0" borderId="0" xfId="0" applyNumberFormat="1"/>
    <xf numFmtId="164" fontId="0" fillId="0" borderId="0" xfId="3" applyNumberFormat="1" applyFont="1"/>
    <xf numFmtId="0" fontId="21" fillId="0" borderId="0" xfId="0" applyFont="1"/>
    <xf numFmtId="43" fontId="0" fillId="0" borderId="0" xfId="0" applyNumberFormat="1"/>
    <xf numFmtId="166" fontId="0" fillId="0" borderId="0" xfId="3" applyNumberFormat="1" applyFont="1"/>
    <xf numFmtId="9" fontId="0" fillId="0" borderId="0" xfId="3" applyFont="1"/>
    <xf numFmtId="0" fontId="15" fillId="0" borderId="0" xfId="0" applyFont="1" applyAlignment="1">
      <alignment horizontal="right"/>
    </xf>
    <xf numFmtId="164" fontId="22" fillId="0" borderId="0" xfId="0" applyNumberFormat="1" applyFont="1"/>
    <xf numFmtId="0" fontId="18" fillId="0" borderId="0" xfId="0" applyFont="1" applyAlignment="1">
      <alignment horizontal="center"/>
    </xf>
    <xf numFmtId="165" fontId="0" fillId="0" borderId="0" xfId="0" applyNumberFormat="1"/>
    <xf numFmtId="0" fontId="23" fillId="0" borderId="0" xfId="0" applyFont="1" applyFill="1"/>
    <xf numFmtId="49" fontId="24" fillId="2" borderId="1" xfId="0" applyNumberFormat="1" applyFont="1" applyFill="1" applyBorder="1" applyAlignment="1">
      <alignment horizontal="center"/>
    </xf>
    <xf numFmtId="0" fontId="25" fillId="0" borderId="0" xfId="0" applyFont="1" applyFill="1"/>
    <xf numFmtId="0" fontId="6" fillId="0" borderId="0" xfId="0" applyNumberFormat="1" applyFont="1" applyFill="1" applyAlignment="1">
      <alignment horizontal="center"/>
    </xf>
    <xf numFmtId="49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Alignment="1">
      <alignment horizontal="left"/>
    </xf>
    <xf numFmtId="0" fontId="26" fillId="0" borderId="0" xfId="0" applyFont="1"/>
    <xf numFmtId="0" fontId="0" fillId="0" borderId="0" xfId="0" applyFill="1"/>
    <xf numFmtId="0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left"/>
    </xf>
    <xf numFmtId="37" fontId="9" fillId="0" borderId="6" xfId="0" applyNumberFormat="1" applyFont="1" applyFill="1" applyBorder="1"/>
    <xf numFmtId="37" fontId="6" fillId="0" borderId="6" xfId="0" applyNumberFormat="1" applyFont="1" applyFill="1" applyBorder="1"/>
    <xf numFmtId="49" fontId="6" fillId="0" borderId="0" xfId="0" applyNumberFormat="1" applyFont="1" applyFill="1" applyAlignment="1">
      <alignment horizontal="right"/>
    </xf>
    <xf numFmtId="164" fontId="0" fillId="0" borderId="0" xfId="1" applyNumberFormat="1" applyFont="1" applyFill="1"/>
    <xf numFmtId="0" fontId="15" fillId="0" borderId="7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164" fontId="0" fillId="0" borderId="0" xfId="0" applyNumberFormat="1" applyFill="1"/>
    <xf numFmtId="164" fontId="0" fillId="5" borderId="0" xfId="0" applyNumberFormat="1" applyFill="1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37" fontId="10" fillId="6" borderId="0" xfId="0" applyNumberFormat="1" applyFont="1" applyFill="1"/>
    <xf numFmtId="37" fontId="10" fillId="0" borderId="9" xfId="0" applyNumberFormat="1" applyFont="1" applyFill="1" applyBorder="1"/>
    <xf numFmtId="37" fontId="11" fillId="0" borderId="9" xfId="0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457200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457200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304800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304800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304800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304800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ing%20to%20Board/FYE21%20Budget%20to%20Projection%20with%20Assumption%20Listingto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ed Closings"/>
      <sheetName val="Projected Payroll"/>
      <sheetName val="Projected Homebuilding"/>
    </sheetNames>
    <sheetDataSet>
      <sheetData sheetId="0">
        <row r="27">
          <cell r="H27">
            <v>2331441</v>
          </cell>
        </row>
      </sheetData>
      <sheetData sheetId="1">
        <row r="53">
          <cell r="I53">
            <v>899244.2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58"/>
  <sheetViews>
    <sheetView showGridLines="0" topLeftCell="A33" zoomScaleNormal="100" workbookViewId="0">
      <selection activeCell="H57" sqref="H57"/>
    </sheetView>
  </sheetViews>
  <sheetFormatPr defaultRowHeight="15" x14ac:dyDescent="0.25"/>
  <cols>
    <col min="1" max="2" width="1.7109375" style="9" customWidth="1"/>
    <col min="3" max="4" width="1.7109375" style="13" customWidth="1"/>
    <col min="5" max="5" width="31.42578125" style="13" bestFit="1" customWidth="1"/>
    <col min="6" max="7" width="14.5703125" style="10" bestFit="1" customWidth="1"/>
    <col min="8" max="8" width="12.7109375" style="10" customWidth="1"/>
    <col min="9" max="9" width="1.7109375" style="10" customWidth="1"/>
    <col min="10" max="16384" width="9.140625" style="1"/>
  </cols>
  <sheetData>
    <row r="1" spans="1:9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20"/>
    </row>
    <row r="2" spans="1:9" x14ac:dyDescent="0.25">
      <c r="A2" s="114" t="s">
        <v>1</v>
      </c>
      <c r="B2" s="114"/>
      <c r="C2" s="114"/>
      <c r="D2" s="114"/>
      <c r="E2" s="114"/>
      <c r="F2" s="114"/>
      <c r="G2" s="114"/>
      <c r="H2" s="114"/>
      <c r="I2" s="20"/>
    </row>
    <row r="3" spans="1:9" x14ac:dyDescent="0.25">
      <c r="A3" s="114" t="s">
        <v>184</v>
      </c>
      <c r="B3" s="114"/>
      <c r="C3" s="114"/>
      <c r="D3" s="114"/>
      <c r="E3" s="114"/>
      <c r="F3" s="114"/>
      <c r="G3" s="114"/>
      <c r="H3" s="114"/>
      <c r="I3" s="20"/>
    </row>
    <row r="4" spans="1:9" ht="15.75" thickBot="1" x14ac:dyDescent="0.3">
      <c r="A4" s="2"/>
      <c r="B4" s="2"/>
      <c r="C4" s="11"/>
      <c r="D4" s="11"/>
      <c r="E4" s="11"/>
      <c r="F4" s="3"/>
      <c r="G4" s="3"/>
      <c r="H4" s="3"/>
      <c r="I4" s="3"/>
    </row>
    <row r="5" spans="1:9" s="5" customFormat="1" ht="16.5" thickTop="1" thickBot="1" x14ac:dyDescent="0.3">
      <c r="A5" s="4"/>
      <c r="B5" s="4"/>
      <c r="C5" s="12"/>
      <c r="D5" s="12"/>
      <c r="E5" s="12"/>
      <c r="F5" s="31" t="s">
        <v>185</v>
      </c>
      <c r="G5" s="31" t="s">
        <v>99</v>
      </c>
      <c r="H5" s="31" t="s">
        <v>2</v>
      </c>
      <c r="I5" s="21"/>
    </row>
    <row r="6" spans="1:9" ht="15.75" thickTop="1" x14ac:dyDescent="0.25">
      <c r="A6" s="2" t="s">
        <v>3</v>
      </c>
      <c r="B6" s="2"/>
      <c r="C6" s="11"/>
      <c r="D6" s="11"/>
      <c r="E6" s="11"/>
      <c r="F6" s="6"/>
      <c r="G6" s="6"/>
      <c r="H6" s="6"/>
      <c r="I6" s="6"/>
    </row>
    <row r="7" spans="1:9" x14ac:dyDescent="0.25">
      <c r="A7" s="2"/>
      <c r="B7" s="2" t="s">
        <v>4</v>
      </c>
      <c r="C7" s="11"/>
      <c r="D7" s="11"/>
      <c r="E7" s="11"/>
      <c r="F7" s="6"/>
      <c r="G7" s="6"/>
      <c r="H7" s="6"/>
      <c r="I7" s="6"/>
    </row>
    <row r="8" spans="1:9" ht="15.75" customHeight="1" x14ac:dyDescent="0.25">
      <c r="A8" s="2"/>
      <c r="B8" s="2"/>
      <c r="C8" s="11" t="s">
        <v>5</v>
      </c>
      <c r="D8" s="11"/>
      <c r="E8" s="16"/>
      <c r="F8" s="23">
        <v>1403946</v>
      </c>
      <c r="G8" s="23">
        <v>589633</v>
      </c>
      <c r="H8" s="23">
        <f>ROUND((F8-G8),5)</f>
        <v>814313</v>
      </c>
      <c r="I8" s="15"/>
    </row>
    <row r="9" spans="1:9" x14ac:dyDescent="0.25">
      <c r="A9" s="2"/>
      <c r="B9" s="2"/>
      <c r="C9" s="11" t="s">
        <v>6</v>
      </c>
      <c r="D9" s="11"/>
      <c r="E9" s="11"/>
      <c r="F9" s="23">
        <v>367613</v>
      </c>
      <c r="G9" s="23">
        <v>184267</v>
      </c>
      <c r="H9" s="23">
        <f>ROUND((F9-G9),5)</f>
        <v>183346</v>
      </c>
      <c r="I9" s="6"/>
    </row>
    <row r="10" spans="1:9" x14ac:dyDescent="0.25">
      <c r="A10" s="2"/>
      <c r="B10" s="2"/>
      <c r="C10" s="11" t="s">
        <v>7</v>
      </c>
      <c r="D10" s="11"/>
      <c r="E10" s="11"/>
      <c r="F10" s="23"/>
      <c r="G10" s="23"/>
      <c r="H10" s="23"/>
      <c r="I10" s="6"/>
    </row>
    <row r="11" spans="1:9" x14ac:dyDescent="0.25">
      <c r="A11" s="2"/>
      <c r="B11" s="2"/>
      <c r="C11" s="11"/>
      <c r="D11" s="11" t="s">
        <v>8</v>
      </c>
      <c r="E11" s="11"/>
      <c r="F11" s="23">
        <v>303655</v>
      </c>
      <c r="G11" s="23">
        <v>265910</v>
      </c>
      <c r="H11" s="23">
        <f>ROUND((F11-G11),5)</f>
        <v>37745</v>
      </c>
      <c r="I11" s="6"/>
    </row>
    <row r="12" spans="1:9" x14ac:dyDescent="0.25">
      <c r="A12" s="2"/>
      <c r="B12" s="2"/>
      <c r="C12" s="11"/>
      <c r="D12" s="11" t="s">
        <v>9</v>
      </c>
      <c r="E12" s="11"/>
      <c r="F12" s="23">
        <v>225179</v>
      </c>
      <c r="G12" s="23">
        <v>423431</v>
      </c>
      <c r="H12" s="23">
        <f>ROUND((F12-G12),5)</f>
        <v>-198252</v>
      </c>
      <c r="I12" s="6"/>
    </row>
    <row r="13" spans="1:9" x14ac:dyDescent="0.25">
      <c r="A13" s="2"/>
      <c r="B13" s="2"/>
      <c r="C13" s="11"/>
      <c r="D13" s="11" t="s">
        <v>89</v>
      </c>
      <c r="E13" s="11"/>
      <c r="F13" s="23">
        <v>-150330</v>
      </c>
      <c r="G13" s="23">
        <v>-265421</v>
      </c>
      <c r="H13" s="23">
        <f>ROUND((F13-G13),5)</f>
        <v>115091</v>
      </c>
      <c r="I13" s="6"/>
    </row>
    <row r="14" spans="1:9" x14ac:dyDescent="0.25">
      <c r="A14" s="2"/>
      <c r="B14" s="2"/>
      <c r="C14" s="11"/>
      <c r="D14" s="11" t="s">
        <v>10</v>
      </c>
      <c r="E14" s="11"/>
      <c r="F14" s="23">
        <v>1237.67</v>
      </c>
      <c r="G14" s="23">
        <v>14139</v>
      </c>
      <c r="H14" s="23">
        <f>ROUND((F14-G14),5)</f>
        <v>-12901.33</v>
      </c>
      <c r="I14" s="6"/>
    </row>
    <row r="15" spans="1:9" ht="8.1" customHeight="1" x14ac:dyDescent="0.25">
      <c r="A15" s="2"/>
      <c r="B15" s="2"/>
      <c r="C15" s="11"/>
      <c r="D15" s="11"/>
      <c r="E15" s="11"/>
      <c r="F15" s="23"/>
      <c r="G15" s="23"/>
      <c r="H15" s="23"/>
      <c r="I15" s="6"/>
    </row>
    <row r="16" spans="1:9" x14ac:dyDescent="0.25">
      <c r="A16" s="2"/>
      <c r="B16" s="2"/>
      <c r="C16" s="11"/>
      <c r="D16" s="11" t="s">
        <v>95</v>
      </c>
      <c r="E16" s="11"/>
      <c r="F16" s="23">
        <v>813</v>
      </c>
      <c r="G16" s="23">
        <v>4611.5</v>
      </c>
      <c r="H16" s="23">
        <f>ROUND((F16-G16),5)</f>
        <v>-3798.5</v>
      </c>
      <c r="I16" s="6"/>
    </row>
    <row r="17" spans="1:9" s="18" customFormat="1" x14ac:dyDescent="0.25">
      <c r="B17" s="35"/>
      <c r="C17" s="17"/>
      <c r="D17" s="17" t="s">
        <v>11</v>
      </c>
      <c r="E17" s="17"/>
      <c r="F17" s="26" t="s">
        <v>153</v>
      </c>
      <c r="G17" s="26"/>
      <c r="H17" s="26"/>
      <c r="I17" s="19"/>
    </row>
    <row r="18" spans="1:9" s="18" customFormat="1" x14ac:dyDescent="0.25">
      <c r="A18" s="17"/>
      <c r="B18" s="35"/>
      <c r="C18" s="17"/>
      <c r="D18" s="17"/>
      <c r="E18" s="17" t="s">
        <v>12</v>
      </c>
      <c r="F18" s="26">
        <v>203077</v>
      </c>
      <c r="G18" s="26">
        <v>121879</v>
      </c>
      <c r="H18" s="26">
        <f>ROUND((F18-G18),5)</f>
        <v>81198</v>
      </c>
      <c r="I18" s="19"/>
    </row>
    <row r="19" spans="1:9" s="18" customFormat="1" x14ac:dyDescent="0.25">
      <c r="A19" s="17"/>
      <c r="B19" s="35"/>
      <c r="C19" s="17"/>
      <c r="D19" s="17"/>
      <c r="E19" s="17" t="s">
        <v>13</v>
      </c>
      <c r="F19" s="26">
        <v>1109660</v>
      </c>
      <c r="G19" s="26">
        <f>639135+35831</f>
        <v>674966</v>
      </c>
      <c r="H19" s="26">
        <f>ROUND((F19-G19),5)</f>
        <v>434694</v>
      </c>
      <c r="I19" s="19"/>
    </row>
    <row r="20" spans="1:9" s="18" customFormat="1" ht="15.75" thickBot="1" x14ac:dyDescent="0.3">
      <c r="A20" s="17"/>
      <c r="B20" s="35"/>
      <c r="C20" s="17"/>
      <c r="D20" s="17"/>
      <c r="E20" s="17" t="s">
        <v>14</v>
      </c>
      <c r="F20" s="32">
        <v>816153</v>
      </c>
      <c r="G20" s="32">
        <v>2170495.7999999998</v>
      </c>
      <c r="H20" s="32">
        <f>ROUND((F20-G20),5)</f>
        <v>-1354342.8</v>
      </c>
      <c r="I20" s="33"/>
    </row>
    <row r="21" spans="1:9" s="18" customFormat="1" x14ac:dyDescent="0.25">
      <c r="A21" s="17"/>
      <c r="B21" s="35"/>
      <c r="C21" s="17"/>
      <c r="D21" s="17" t="s">
        <v>15</v>
      </c>
      <c r="E21" s="17"/>
      <c r="F21" s="26">
        <f>ROUND(SUM(F17:F20),5)</f>
        <v>2128890</v>
      </c>
      <c r="G21" s="26">
        <f>ROUND(SUM(G17:G20),5)</f>
        <v>2967340.8</v>
      </c>
      <c r="H21" s="26">
        <f>ROUND((F21-G21),5)</f>
        <v>-838450.8</v>
      </c>
      <c r="I21" s="19"/>
    </row>
    <row r="22" spans="1:9" ht="8.1" customHeight="1" x14ac:dyDescent="0.25">
      <c r="A22" s="2"/>
      <c r="B22" s="2"/>
      <c r="C22" s="11"/>
      <c r="D22" s="11"/>
      <c r="E22" s="2"/>
      <c r="F22" s="24"/>
      <c r="G22" s="24"/>
      <c r="H22" s="24"/>
      <c r="I22" s="14"/>
    </row>
    <row r="23" spans="1:9" x14ac:dyDescent="0.25">
      <c r="A23" s="2"/>
      <c r="B23" s="2"/>
      <c r="C23" s="11"/>
      <c r="D23" s="11" t="s">
        <v>16</v>
      </c>
      <c r="E23" s="11"/>
      <c r="F23" s="23">
        <v>1216</v>
      </c>
      <c r="G23" s="23">
        <f>1533+2288</f>
        <v>3821</v>
      </c>
      <c r="H23" s="23">
        <f>ROUND((F23-G23),5)</f>
        <v>-2605</v>
      </c>
      <c r="I23" s="6"/>
    </row>
    <row r="24" spans="1:9" ht="8.1" customHeight="1" thickBot="1" x14ac:dyDescent="0.3">
      <c r="A24" s="2"/>
      <c r="B24" s="2"/>
      <c r="C24" s="11"/>
      <c r="D24" s="11"/>
      <c r="E24" s="11"/>
      <c r="F24" s="23"/>
      <c r="G24" s="23"/>
      <c r="H24" s="23"/>
      <c r="I24" s="6"/>
    </row>
    <row r="25" spans="1:9" ht="15.75" thickBot="1" x14ac:dyDescent="0.3">
      <c r="A25" s="2"/>
      <c r="B25" s="2"/>
      <c r="C25" s="11" t="s">
        <v>17</v>
      </c>
      <c r="D25" s="11"/>
      <c r="E25" s="11"/>
      <c r="F25" s="25">
        <f>ROUND(SUM(F10:F16)+SUM(F21:F23),5)</f>
        <v>2510660.67</v>
      </c>
      <c r="G25" s="25">
        <f>ROUND(SUM(G10:G16)+SUM(G21:G23),5)</f>
        <v>3413832.3</v>
      </c>
      <c r="H25" s="25">
        <f>ROUND((F25-G25),5)</f>
        <v>-903171.63</v>
      </c>
      <c r="I25" s="7"/>
    </row>
    <row r="26" spans="1:9" x14ac:dyDescent="0.25">
      <c r="A26" s="2"/>
      <c r="B26" s="2" t="s">
        <v>18</v>
      </c>
      <c r="C26" s="11"/>
      <c r="D26" s="11"/>
      <c r="E26" s="11"/>
      <c r="F26" s="23">
        <f>ROUND(SUM(F7:F9)+F25,5)</f>
        <v>4282219.67</v>
      </c>
      <c r="G26" s="23">
        <f>ROUND(SUM(G7:G9)+G25,5)</f>
        <v>4187732.3</v>
      </c>
      <c r="H26" s="23">
        <f>ROUND((F26-G26),5)</f>
        <v>94487.37</v>
      </c>
      <c r="I26" s="6"/>
    </row>
    <row r="27" spans="1:9" ht="8.1" customHeight="1" x14ac:dyDescent="0.25">
      <c r="A27" s="2"/>
      <c r="B27" s="2"/>
      <c r="C27" s="11"/>
      <c r="D27" s="11"/>
      <c r="E27" s="11"/>
      <c r="F27" s="23"/>
      <c r="G27" s="23"/>
      <c r="H27" s="23"/>
      <c r="I27" s="6"/>
    </row>
    <row r="28" spans="1:9" x14ac:dyDescent="0.25">
      <c r="A28" s="2"/>
      <c r="B28" s="2" t="s">
        <v>19</v>
      </c>
      <c r="C28" s="11"/>
      <c r="D28" s="11"/>
      <c r="E28" s="11"/>
      <c r="F28" s="23">
        <v>407932</v>
      </c>
      <c r="G28" s="23">
        <v>420342</v>
      </c>
      <c r="H28" s="23">
        <f>ROUND((F28-G28),5)</f>
        <v>-12410</v>
      </c>
      <c r="I28" s="6"/>
    </row>
    <row r="29" spans="1:9" ht="8.1" customHeight="1" x14ac:dyDescent="0.25">
      <c r="A29" s="2"/>
      <c r="B29" s="34"/>
      <c r="C29" s="11"/>
      <c r="D29" s="11"/>
      <c r="E29" s="11"/>
      <c r="F29" s="23"/>
      <c r="G29" s="23"/>
      <c r="H29" s="23"/>
      <c r="I29" s="6"/>
    </row>
    <row r="30" spans="1:9" x14ac:dyDescent="0.25">
      <c r="A30" s="2"/>
      <c r="B30" s="2" t="s">
        <v>20</v>
      </c>
      <c r="C30" s="11"/>
      <c r="D30" s="11"/>
      <c r="E30" s="11"/>
      <c r="F30" s="23"/>
      <c r="G30" s="23"/>
      <c r="H30" s="23"/>
      <c r="I30" s="6"/>
    </row>
    <row r="31" spans="1:9" s="18" customFormat="1" x14ac:dyDescent="0.25">
      <c r="A31" s="17"/>
      <c r="B31" s="35"/>
      <c r="C31" s="17" t="s">
        <v>21</v>
      </c>
      <c r="D31" s="17"/>
      <c r="E31" s="17"/>
      <c r="F31" s="26"/>
      <c r="G31" s="26"/>
      <c r="H31" s="26"/>
      <c r="I31" s="19"/>
    </row>
    <row r="32" spans="1:9" s="18" customFormat="1" x14ac:dyDescent="0.25">
      <c r="A32" s="17"/>
      <c r="B32" s="35"/>
      <c r="C32" s="17"/>
      <c r="D32" s="17" t="s">
        <v>22</v>
      </c>
      <c r="E32" s="17"/>
      <c r="F32" s="26">
        <v>7908226</v>
      </c>
      <c r="G32" s="26">
        <v>7266451</v>
      </c>
      <c r="H32" s="26">
        <f>ROUND((F32-G32),5)</f>
        <v>641775</v>
      </c>
      <c r="I32" s="19"/>
    </row>
    <row r="33" spans="1:9" s="18" customFormat="1" ht="15.75" thickBot="1" x14ac:dyDescent="0.3">
      <c r="A33" s="17"/>
      <c r="B33" s="35"/>
      <c r="C33" s="17"/>
      <c r="D33" s="17" t="s">
        <v>23</v>
      </c>
      <c r="E33" s="17"/>
      <c r="F33" s="32">
        <v>-5116364</v>
      </c>
      <c r="G33" s="32">
        <v>-4382417</v>
      </c>
      <c r="H33" s="32">
        <f>ROUND((F33-G33),5)</f>
        <v>-733947</v>
      </c>
      <c r="I33" s="33"/>
    </row>
    <row r="34" spans="1:9" s="18" customFormat="1" x14ac:dyDescent="0.25">
      <c r="A34" s="17"/>
      <c r="B34" s="35"/>
      <c r="C34" s="17" t="s">
        <v>24</v>
      </c>
      <c r="D34" s="17"/>
      <c r="E34" s="17"/>
      <c r="F34" s="26">
        <f>ROUND(SUM(F31:F33),5)</f>
        <v>2791862</v>
      </c>
      <c r="G34" s="26">
        <f>ROUND(SUM(G31:G33),5)</f>
        <v>2884034</v>
      </c>
      <c r="H34" s="26">
        <f>ROUND((F34-G34),5)</f>
        <v>-92172</v>
      </c>
      <c r="I34" s="19"/>
    </row>
    <row r="35" spans="1:9" ht="8.1" customHeight="1" x14ac:dyDescent="0.25">
      <c r="A35" s="2"/>
      <c r="B35" s="2"/>
      <c r="C35" s="11"/>
      <c r="D35" s="11"/>
      <c r="E35" s="2"/>
      <c r="F35" s="24"/>
      <c r="G35" s="24"/>
      <c r="H35" s="24"/>
      <c r="I35" s="14"/>
    </row>
    <row r="36" spans="1:9" x14ac:dyDescent="0.25">
      <c r="A36" s="2"/>
      <c r="B36" s="2"/>
      <c r="C36" s="11" t="s">
        <v>96</v>
      </c>
      <c r="D36" s="11"/>
      <c r="E36" s="11"/>
      <c r="F36" s="23">
        <v>4325</v>
      </c>
      <c r="G36" s="23">
        <f>4675-1273.62</f>
        <v>3401.38</v>
      </c>
      <c r="H36" s="27">
        <f>ROUND((F36-G36),5)</f>
        <v>923.62</v>
      </c>
      <c r="I36" s="6"/>
    </row>
    <row r="37" spans="1:9" ht="15.75" thickBot="1" x14ac:dyDescent="0.3">
      <c r="A37" s="2"/>
      <c r="B37" s="2"/>
      <c r="C37" s="11" t="s">
        <v>25</v>
      </c>
      <c r="D37" s="11"/>
      <c r="E37" s="11"/>
      <c r="F37" s="27">
        <v>1139</v>
      </c>
      <c r="G37" s="27">
        <f>9986.17-6907.58+3</f>
        <v>3081.59</v>
      </c>
      <c r="H37" s="27">
        <f>ROUND((F37-G37),5)</f>
        <v>-1942.59</v>
      </c>
      <c r="I37" s="7"/>
    </row>
    <row r="38" spans="1:9" ht="15.75" thickBot="1" x14ac:dyDescent="0.3">
      <c r="A38" s="2"/>
      <c r="B38" s="2" t="s">
        <v>26</v>
      </c>
      <c r="C38" s="11"/>
      <c r="D38" s="11"/>
      <c r="E38" s="11"/>
      <c r="F38" s="28">
        <f>ROUND(F29+SUM(F34:F37),5)</f>
        <v>2797326</v>
      </c>
      <c r="G38" s="28">
        <f>ROUND(G29+SUM(G34:G37),5)</f>
        <v>2890516.97</v>
      </c>
      <c r="H38" s="28">
        <f>ROUND((F38-G38),5)</f>
        <v>-93190.97</v>
      </c>
      <c r="I38" s="7"/>
    </row>
    <row r="39" spans="1:9" s="8" customFormat="1" ht="15.75" thickBot="1" x14ac:dyDescent="0.3">
      <c r="A39" s="2" t="s">
        <v>27</v>
      </c>
      <c r="B39" s="2"/>
      <c r="C39" s="11"/>
      <c r="D39" s="11"/>
      <c r="E39" s="11"/>
      <c r="F39" s="29">
        <f>ROUND(F6+SUM(F26:F28)+F38,5)</f>
        <v>7487477.6699999999</v>
      </c>
      <c r="G39" s="29">
        <f>ROUND(G6+SUM(G26:G28)+G38,5)</f>
        <v>7498591.2699999996</v>
      </c>
      <c r="H39" s="29">
        <f>ROUND((F39-G39),5)</f>
        <v>-11113.6</v>
      </c>
      <c r="I39" s="22"/>
    </row>
    <row r="40" spans="1:9" ht="15.75" thickTop="1" x14ac:dyDescent="0.25">
      <c r="A40" s="2" t="s">
        <v>28</v>
      </c>
      <c r="B40" s="2"/>
      <c r="C40" s="11"/>
      <c r="D40" s="11"/>
      <c r="E40" s="11"/>
      <c r="F40" s="23"/>
      <c r="G40" s="23" t="s">
        <v>153</v>
      </c>
      <c r="H40" s="23"/>
      <c r="I40" s="6"/>
    </row>
    <row r="41" spans="1:9" x14ac:dyDescent="0.25">
      <c r="A41" s="2"/>
      <c r="B41" s="2" t="s">
        <v>29</v>
      </c>
      <c r="C41" s="11"/>
      <c r="D41" s="11"/>
      <c r="E41" s="11"/>
      <c r="F41" s="23"/>
      <c r="G41" s="23"/>
      <c r="H41" s="23"/>
      <c r="I41" s="6"/>
    </row>
    <row r="42" spans="1:9" x14ac:dyDescent="0.25">
      <c r="A42" s="2"/>
      <c r="B42" s="2"/>
      <c r="C42" s="11" t="s">
        <v>30</v>
      </c>
      <c r="D42" s="11"/>
      <c r="E42" s="11"/>
      <c r="F42" s="23"/>
      <c r="G42" s="23"/>
      <c r="H42" s="23"/>
      <c r="I42" s="6"/>
    </row>
    <row r="43" spans="1:9" x14ac:dyDescent="0.25">
      <c r="A43" s="2"/>
      <c r="B43" s="2"/>
      <c r="C43" s="11"/>
      <c r="D43" s="11" t="s">
        <v>31</v>
      </c>
      <c r="E43" s="11"/>
      <c r="F43" s="23">
        <v>76631</v>
      </c>
      <c r="G43" s="23">
        <v>87358</v>
      </c>
      <c r="H43" s="23">
        <f t="shared" ref="H43:H47" si="0">ROUND((F43-G43),5)</f>
        <v>-10727</v>
      </c>
      <c r="I43" s="6"/>
    </row>
    <row r="44" spans="1:9" x14ac:dyDescent="0.25">
      <c r="A44" s="2"/>
      <c r="B44" s="2"/>
      <c r="C44" s="11"/>
      <c r="D44" s="11" t="s">
        <v>32</v>
      </c>
      <c r="E44" s="11"/>
      <c r="F44" s="23">
        <v>3881</v>
      </c>
      <c r="G44" s="23">
        <v>9807.58</v>
      </c>
      <c r="H44" s="23">
        <f t="shared" si="0"/>
        <v>-5926.58</v>
      </c>
      <c r="I44" s="6"/>
    </row>
    <row r="45" spans="1:9" x14ac:dyDescent="0.25">
      <c r="A45" s="2"/>
      <c r="B45" s="2"/>
      <c r="C45" s="11"/>
      <c r="D45" s="11" t="s">
        <v>100</v>
      </c>
      <c r="E45" s="11"/>
      <c r="F45" s="23">
        <v>462867</v>
      </c>
      <c r="G45" s="23">
        <v>238500</v>
      </c>
      <c r="H45" s="23">
        <f t="shared" si="0"/>
        <v>224367</v>
      </c>
      <c r="I45" s="6"/>
    </row>
    <row r="46" spans="1:9" ht="15.75" thickBot="1" x14ac:dyDescent="0.3">
      <c r="A46" s="2"/>
      <c r="B46" s="2"/>
      <c r="C46" s="11"/>
      <c r="D46" s="11" t="s">
        <v>33</v>
      </c>
      <c r="E46" s="11"/>
      <c r="F46" s="23">
        <v>189992</v>
      </c>
      <c r="G46" s="23">
        <f>453215-G45</f>
        <v>214715</v>
      </c>
      <c r="H46" s="23">
        <f t="shared" si="0"/>
        <v>-24723</v>
      </c>
      <c r="I46" s="6"/>
    </row>
    <row r="47" spans="1:9" x14ac:dyDescent="0.25">
      <c r="A47" s="2"/>
      <c r="B47" s="2"/>
      <c r="C47" s="11" t="s">
        <v>34</v>
      </c>
      <c r="D47" s="11"/>
      <c r="E47" s="11"/>
      <c r="F47" s="28">
        <f>ROUND(SUM(F42:F46),5)</f>
        <v>733371</v>
      </c>
      <c r="G47" s="28">
        <f>ROUND(SUM(G42:G46),5)</f>
        <v>550380.57999999996</v>
      </c>
      <c r="H47" s="28">
        <f t="shared" si="0"/>
        <v>182990.42</v>
      </c>
      <c r="I47" s="28"/>
    </row>
    <row r="48" spans="1:9" ht="8.1" customHeight="1" x14ac:dyDescent="0.25">
      <c r="A48" s="2"/>
      <c r="B48" s="2"/>
      <c r="C48" s="11"/>
      <c r="D48" s="11"/>
      <c r="E48" s="11"/>
      <c r="F48" s="23"/>
      <c r="G48" s="23"/>
      <c r="H48" s="23"/>
      <c r="I48" s="6"/>
    </row>
    <row r="49" spans="1:9" ht="15.75" thickBot="1" x14ac:dyDescent="0.3">
      <c r="A49" s="2"/>
      <c r="B49" s="2"/>
      <c r="C49" s="11" t="s">
        <v>35</v>
      </c>
      <c r="D49" s="11"/>
      <c r="E49" s="11"/>
      <c r="F49" s="30">
        <v>10446</v>
      </c>
      <c r="G49" s="30">
        <v>197618</v>
      </c>
      <c r="H49" s="30">
        <f>ROUND((F49-G49),5)</f>
        <v>-187172</v>
      </c>
      <c r="I49" s="7"/>
    </row>
    <row r="50" spans="1:9" x14ac:dyDescent="0.25">
      <c r="A50" s="2"/>
      <c r="B50" s="2" t="s">
        <v>36</v>
      </c>
      <c r="C50" s="11"/>
      <c r="D50" s="11"/>
      <c r="E50" s="11"/>
      <c r="F50" s="23">
        <f>ROUND(F41+SUM(F47:F49),5)</f>
        <v>743817</v>
      </c>
      <c r="G50" s="23">
        <f>ROUND(G41+SUM(G47:G49),5)</f>
        <v>747998.58</v>
      </c>
      <c r="H50" s="23">
        <f>ROUND((F50-G50),5)</f>
        <v>-4181.58</v>
      </c>
      <c r="I50" s="6"/>
    </row>
    <row r="51" spans="1:9" ht="8.1" customHeight="1" x14ac:dyDescent="0.25">
      <c r="A51" s="2"/>
      <c r="B51" s="2"/>
      <c r="C51" s="11"/>
      <c r="D51" s="11"/>
      <c r="E51" s="11"/>
      <c r="F51" s="23"/>
      <c r="G51" s="23"/>
      <c r="H51" s="23"/>
      <c r="I51" s="6"/>
    </row>
    <row r="52" spans="1:9" x14ac:dyDescent="0.25">
      <c r="A52" s="2"/>
      <c r="B52" s="2" t="s">
        <v>37</v>
      </c>
      <c r="C52" s="11"/>
      <c r="D52" s="11"/>
      <c r="E52" s="11"/>
      <c r="F52" s="23"/>
      <c r="G52" s="23"/>
      <c r="H52" s="23"/>
      <c r="I52" s="6"/>
    </row>
    <row r="53" spans="1:9" x14ac:dyDescent="0.25">
      <c r="A53" s="2"/>
      <c r="B53" s="2"/>
      <c r="C53" s="11" t="s">
        <v>38</v>
      </c>
      <c r="D53" s="11"/>
      <c r="E53" s="11"/>
      <c r="F53" s="23">
        <v>140000</v>
      </c>
      <c r="G53" s="23">
        <v>185000</v>
      </c>
      <c r="H53" s="23">
        <f>ROUND((F53-G53),5)</f>
        <v>-45000</v>
      </c>
      <c r="I53" s="6"/>
    </row>
    <row r="54" spans="1:9" x14ac:dyDescent="0.25">
      <c r="A54" s="2"/>
      <c r="B54" s="2"/>
      <c r="C54" s="11" t="s">
        <v>39</v>
      </c>
      <c r="D54" s="11"/>
      <c r="E54" s="11"/>
      <c r="F54" s="23">
        <v>6600036</v>
      </c>
      <c r="G54" s="23">
        <v>5962579</v>
      </c>
      <c r="H54" s="23">
        <f>ROUND((F54-G54),5)</f>
        <v>637457</v>
      </c>
      <c r="I54" s="6"/>
    </row>
    <row r="55" spans="1:9" ht="15.75" thickBot="1" x14ac:dyDescent="0.3">
      <c r="A55" s="2"/>
      <c r="B55" s="2"/>
      <c r="C55" s="11" t="s">
        <v>40</v>
      </c>
      <c r="D55" s="11"/>
      <c r="E55" s="11"/>
      <c r="F55" s="27">
        <v>3625</v>
      </c>
      <c r="G55" s="27">
        <v>603013</v>
      </c>
      <c r="H55" s="27">
        <f>ROUND((F55-G55),5)</f>
        <v>-599388</v>
      </c>
      <c r="I55" s="7"/>
    </row>
    <row r="56" spans="1:9" ht="15.75" thickBot="1" x14ac:dyDescent="0.3">
      <c r="A56" s="2"/>
      <c r="B56" s="2" t="s">
        <v>41</v>
      </c>
      <c r="C56" s="11"/>
      <c r="D56" s="11"/>
      <c r="E56" s="11"/>
      <c r="F56" s="28">
        <f>ROUND(SUM(F52:F55),5)</f>
        <v>6743661</v>
      </c>
      <c r="G56" s="28">
        <f>ROUND(SUM(G52:G55),5)</f>
        <v>6750592</v>
      </c>
      <c r="H56" s="28">
        <f>ROUND((F56-G56),5)</f>
        <v>-6931</v>
      </c>
      <c r="I56" s="7"/>
    </row>
    <row r="57" spans="1:9" s="8" customFormat="1" ht="15.75" thickBot="1" x14ac:dyDescent="0.3">
      <c r="A57" s="2" t="s">
        <v>42</v>
      </c>
      <c r="B57" s="2"/>
      <c r="C57" s="11"/>
      <c r="D57" s="11"/>
      <c r="E57" s="11"/>
      <c r="F57" s="29">
        <f>ROUND(F50+F56,5)</f>
        <v>7487478</v>
      </c>
      <c r="G57" s="29">
        <f t="shared" ref="G57:H57" si="1">ROUND(G50+G56,5)</f>
        <v>7498590.5800000001</v>
      </c>
      <c r="H57" s="29">
        <f t="shared" si="1"/>
        <v>-11112.58</v>
      </c>
      <c r="I57" s="22"/>
    </row>
    <row r="58" spans="1:9" ht="15.75" thickTop="1" x14ac:dyDescent="0.25"/>
  </sheetData>
  <mergeCells count="3">
    <mergeCell ref="A1:H1"/>
    <mergeCell ref="A2:H2"/>
    <mergeCell ref="A3:H3"/>
  </mergeCells>
  <printOptions horizontalCentered="1"/>
  <pageMargins left="0.5" right="0.5" top="0.25" bottom="0.25" header="0.3" footer="0.3"/>
  <pageSetup scale="9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457200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457200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67"/>
  <sheetViews>
    <sheetView showGridLines="0" tabSelected="1" topLeftCell="E1" zoomScale="90" zoomScaleNormal="90" workbookViewId="0">
      <pane xSplit="1" ySplit="6" topLeftCell="F47" activePane="bottomRight" state="frozen"/>
      <selection activeCell="E1" sqref="E1"/>
      <selection pane="topRight" activeCell="F1" sqref="F1"/>
      <selection pane="bottomLeft" activeCell="E7" sqref="E7"/>
      <selection pane="bottomRight" activeCell="F35" sqref="F35"/>
    </sheetView>
  </sheetViews>
  <sheetFormatPr defaultRowHeight="15.75" x14ac:dyDescent="0.25"/>
  <cols>
    <col min="1" max="1" width="2.28515625" style="94" customWidth="1"/>
    <col min="2" max="2" width="2.28515625" style="96" customWidth="1"/>
    <col min="3" max="4" width="2.28515625" style="63" customWidth="1"/>
    <col min="5" max="5" width="32.85546875" style="63" bestFit="1" customWidth="1"/>
    <col min="6" max="6" width="15.7109375" style="64" customWidth="1"/>
    <col min="7" max="7" width="1.7109375" style="65" customWidth="1"/>
    <col min="8" max="8" width="15.7109375" style="64" customWidth="1"/>
    <col min="9" max="9" width="1.7109375" style="64" customWidth="1"/>
    <col min="10" max="10" width="15.7109375" style="65" customWidth="1"/>
    <col min="11" max="11" width="1.7109375" style="65" customWidth="1"/>
    <col min="12" max="12" width="15.7109375" style="38" customWidth="1"/>
    <col min="13" max="13" width="1.7109375" style="38" customWidth="1"/>
    <col min="14" max="14" width="15.7109375" style="42" customWidth="1"/>
    <col min="15" max="15" width="6.140625" style="37" customWidth="1"/>
    <col min="16" max="16" width="143.7109375" style="91" bestFit="1" customWidth="1"/>
    <col min="17" max="16384" width="9.140625" style="38"/>
  </cols>
  <sheetData>
    <row r="1" spans="1:16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6" x14ac:dyDescent="0.25">
      <c r="A2" s="115" t="s">
        <v>94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6" x14ac:dyDescent="0.25">
      <c r="A3" s="115" t="s">
        <v>188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ht="16.5" thickBot="1" x14ac:dyDescent="0.3">
      <c r="A4" s="36"/>
      <c r="B4" s="74"/>
      <c r="C4" s="39"/>
      <c r="D4" s="39"/>
      <c r="E4" s="39"/>
      <c r="F4" s="40"/>
      <c r="G4" s="41"/>
      <c r="H4" s="40"/>
      <c r="I4" s="40"/>
      <c r="J4" s="41"/>
      <c r="K4" s="41"/>
    </row>
    <row r="5" spans="1:16" s="45" customFormat="1" ht="17.25" thickTop="1" thickBot="1" x14ac:dyDescent="0.3">
      <c r="A5" s="36"/>
      <c r="B5" s="95"/>
      <c r="C5" s="36"/>
      <c r="D5" s="36"/>
      <c r="E5" s="36"/>
      <c r="F5" s="43" t="s">
        <v>186</v>
      </c>
      <c r="G5" s="44"/>
      <c r="H5" s="43" t="s">
        <v>86</v>
      </c>
      <c r="I5" s="43"/>
      <c r="J5" s="66" t="s">
        <v>87</v>
      </c>
      <c r="K5" s="44"/>
      <c r="L5" s="43" t="s">
        <v>187</v>
      </c>
      <c r="M5" s="43"/>
      <c r="N5" s="66" t="s">
        <v>88</v>
      </c>
      <c r="P5" s="92" t="s">
        <v>161</v>
      </c>
    </row>
    <row r="6" spans="1:16" ht="16.5" thickTop="1" x14ac:dyDescent="0.25">
      <c r="A6" s="36"/>
      <c r="B6" s="74" t="s">
        <v>85</v>
      </c>
      <c r="C6" s="39"/>
      <c r="D6" s="39"/>
      <c r="E6" s="39"/>
      <c r="F6" s="46"/>
      <c r="G6" s="47"/>
      <c r="H6" s="46"/>
      <c r="I6" s="46"/>
      <c r="J6" s="67"/>
      <c r="K6" s="47"/>
      <c r="L6" s="46"/>
      <c r="M6" s="46"/>
      <c r="N6" s="67"/>
    </row>
    <row r="7" spans="1:16" x14ac:dyDescent="0.25">
      <c r="A7" s="36"/>
      <c r="B7" s="74"/>
      <c r="C7" s="39"/>
      <c r="D7" s="39" t="s">
        <v>84</v>
      </c>
      <c r="E7" s="39"/>
      <c r="F7" s="46"/>
      <c r="G7" s="47"/>
      <c r="H7" s="46"/>
      <c r="I7" s="46"/>
      <c r="J7" s="67"/>
      <c r="K7" s="47"/>
      <c r="L7" s="46"/>
      <c r="M7" s="46"/>
      <c r="N7" s="67"/>
    </row>
    <row r="8" spans="1:16" x14ac:dyDescent="0.25">
      <c r="A8" s="36"/>
      <c r="B8" s="74"/>
      <c r="C8" s="39"/>
      <c r="D8" s="39"/>
      <c r="E8" s="39" t="s">
        <v>138</v>
      </c>
      <c r="F8" s="48">
        <v>181500</v>
      </c>
      <c r="G8" s="47"/>
      <c r="H8" s="48">
        <v>0</v>
      </c>
      <c r="I8" s="48"/>
      <c r="J8" s="68">
        <f t="shared" ref="J8:J10" si="0">ROUND((F8-H8),5)</f>
        <v>181500</v>
      </c>
      <c r="K8" s="49"/>
      <c r="L8" s="48">
        <v>21275</v>
      </c>
      <c r="M8" s="48"/>
      <c r="N8" s="68">
        <f t="shared" ref="N8:N10" si="1">F8-L8</f>
        <v>160225</v>
      </c>
      <c r="P8" s="91" t="s">
        <v>149</v>
      </c>
    </row>
    <row r="9" spans="1:16" x14ac:dyDescent="0.25">
      <c r="A9" s="36"/>
      <c r="B9" s="74"/>
      <c r="C9" s="39"/>
      <c r="D9" s="39"/>
      <c r="E9" s="39" t="s">
        <v>143</v>
      </c>
      <c r="F9" s="48">
        <v>477691.6</v>
      </c>
      <c r="G9" s="47"/>
      <c r="H9" s="48">
        <v>863941</v>
      </c>
      <c r="I9" s="48"/>
      <c r="J9" s="68">
        <f t="shared" si="0"/>
        <v>-386249.4</v>
      </c>
      <c r="K9" s="49"/>
      <c r="L9" s="48">
        <v>231996</v>
      </c>
      <c r="M9" s="48"/>
      <c r="N9" s="68">
        <f t="shared" si="1"/>
        <v>245695.59999999998</v>
      </c>
      <c r="P9" s="91" t="s">
        <v>146</v>
      </c>
    </row>
    <row r="10" spans="1:16" x14ac:dyDescent="0.25">
      <c r="A10" s="36"/>
      <c r="B10" s="74"/>
      <c r="C10" s="39"/>
      <c r="D10" s="39"/>
      <c r="E10" s="39" t="s">
        <v>140</v>
      </c>
      <c r="F10" s="48">
        <v>187498</v>
      </c>
      <c r="G10" s="49"/>
      <c r="H10" s="48">
        <v>0</v>
      </c>
      <c r="I10" s="48"/>
      <c r="J10" s="68">
        <f t="shared" si="0"/>
        <v>187498</v>
      </c>
      <c r="K10" s="49"/>
      <c r="L10" s="48">
        <v>0</v>
      </c>
      <c r="M10" s="48"/>
      <c r="N10" s="68">
        <f t="shared" si="1"/>
        <v>187498</v>
      </c>
      <c r="P10" s="91" t="s">
        <v>147</v>
      </c>
    </row>
    <row r="11" spans="1:16" x14ac:dyDescent="0.25">
      <c r="A11" s="36"/>
      <c r="B11" s="74"/>
      <c r="C11" s="39"/>
      <c r="D11" s="39"/>
      <c r="E11" s="39" t="s">
        <v>139</v>
      </c>
      <c r="F11" s="48">
        <v>1146796</v>
      </c>
      <c r="G11" s="49"/>
      <c r="H11" s="48">
        <v>1532685</v>
      </c>
      <c r="I11" s="48"/>
      <c r="J11" s="68">
        <f t="shared" ref="J11:J20" si="2">ROUND((F11-H11),5)</f>
        <v>-385889</v>
      </c>
      <c r="K11" s="49"/>
      <c r="L11" s="48">
        <v>294000</v>
      </c>
      <c r="M11" s="48"/>
      <c r="N11" s="68">
        <f t="shared" ref="N11:N20" si="3">F11-L11</f>
        <v>852796</v>
      </c>
      <c r="P11" s="91" t="s">
        <v>154</v>
      </c>
    </row>
    <row r="12" spans="1:16" x14ac:dyDescent="0.25">
      <c r="A12" s="36"/>
      <c r="B12" s="74"/>
      <c r="C12" s="39"/>
      <c r="D12" s="39"/>
      <c r="E12" s="39" t="s">
        <v>98</v>
      </c>
      <c r="F12" s="48">
        <v>0</v>
      </c>
      <c r="G12" s="49"/>
      <c r="H12" s="48">
        <v>30000</v>
      </c>
      <c r="I12" s="48"/>
      <c r="J12" s="68">
        <f t="shared" si="2"/>
        <v>-30000</v>
      </c>
      <c r="K12" s="49"/>
      <c r="L12" s="48">
        <v>0</v>
      </c>
      <c r="M12" s="48"/>
      <c r="N12" s="68">
        <f t="shared" si="3"/>
        <v>0</v>
      </c>
      <c r="P12" s="91" t="s">
        <v>155</v>
      </c>
    </row>
    <row r="13" spans="1:16" x14ac:dyDescent="0.25">
      <c r="A13" s="36"/>
      <c r="B13" s="74"/>
      <c r="C13" s="39"/>
      <c r="D13" s="39"/>
      <c r="E13" s="39" t="s">
        <v>83</v>
      </c>
      <c r="F13" s="48">
        <v>469109</v>
      </c>
      <c r="G13" s="49"/>
      <c r="H13" s="48">
        <v>135050</v>
      </c>
      <c r="I13" s="48"/>
      <c r="J13" s="68">
        <f t="shared" si="2"/>
        <v>334059</v>
      </c>
      <c r="K13" s="49"/>
      <c r="L13" s="48">
        <v>505740</v>
      </c>
      <c r="M13" s="48"/>
      <c r="N13" s="68">
        <f t="shared" si="3"/>
        <v>-36631</v>
      </c>
      <c r="P13" s="91" t="s">
        <v>160</v>
      </c>
    </row>
    <row r="14" spans="1:16" x14ac:dyDescent="0.25">
      <c r="A14" s="36"/>
      <c r="B14" s="74"/>
      <c r="C14" s="39"/>
      <c r="D14" s="39"/>
      <c r="E14" s="39" t="s">
        <v>82</v>
      </c>
      <c r="F14" s="48">
        <v>382523</v>
      </c>
      <c r="G14" s="49"/>
      <c r="H14" s="48">
        <v>562400</v>
      </c>
      <c r="I14" s="48"/>
      <c r="J14" s="68">
        <f t="shared" si="2"/>
        <v>-179877</v>
      </c>
      <c r="K14" s="49"/>
      <c r="L14" s="48">
        <v>350041</v>
      </c>
      <c r="M14" s="48"/>
      <c r="N14" s="68">
        <f t="shared" si="3"/>
        <v>32482</v>
      </c>
      <c r="P14" s="91" t="s">
        <v>156</v>
      </c>
    </row>
    <row r="15" spans="1:16" x14ac:dyDescent="0.25">
      <c r="A15" s="36"/>
      <c r="B15" s="74"/>
      <c r="C15" s="39"/>
      <c r="D15" s="39"/>
      <c r="E15" s="39" t="s">
        <v>81</v>
      </c>
      <c r="F15" s="48">
        <v>453712</v>
      </c>
      <c r="G15" s="49"/>
      <c r="H15" s="48">
        <v>98900</v>
      </c>
      <c r="I15" s="48"/>
      <c r="J15" s="68">
        <f t="shared" si="2"/>
        <v>354812</v>
      </c>
      <c r="K15" s="49"/>
      <c r="L15" s="48">
        <v>680534</v>
      </c>
      <c r="M15" s="48"/>
      <c r="N15" s="68">
        <f t="shared" si="3"/>
        <v>-226822</v>
      </c>
      <c r="P15" s="91" t="s">
        <v>150</v>
      </c>
    </row>
    <row r="16" spans="1:16" x14ac:dyDescent="0.25">
      <c r="A16" s="36"/>
      <c r="B16" s="74"/>
      <c r="C16" s="39"/>
      <c r="D16" s="39"/>
      <c r="E16" s="39" t="s">
        <v>80</v>
      </c>
      <c r="F16" s="48">
        <v>167969</v>
      </c>
      <c r="G16" s="49"/>
      <c r="H16" s="48">
        <v>47526</v>
      </c>
      <c r="I16" s="48"/>
      <c r="J16" s="68">
        <f t="shared" si="2"/>
        <v>120443</v>
      </c>
      <c r="K16" s="49"/>
      <c r="L16" s="48">
        <v>267656</v>
      </c>
      <c r="M16" s="48"/>
      <c r="N16" s="68">
        <f t="shared" si="3"/>
        <v>-99687</v>
      </c>
      <c r="P16" s="91" t="s">
        <v>157</v>
      </c>
    </row>
    <row r="17" spans="1:16" x14ac:dyDescent="0.25">
      <c r="A17" s="36"/>
      <c r="B17" s="74"/>
      <c r="C17" s="39"/>
      <c r="D17" s="39"/>
      <c r="E17" s="39" t="s">
        <v>79</v>
      </c>
      <c r="F17" s="48">
        <v>48461</v>
      </c>
      <c r="G17" s="49"/>
      <c r="H17" s="48">
        <v>40596</v>
      </c>
      <c r="I17" s="48"/>
      <c r="J17" s="68">
        <f t="shared" si="2"/>
        <v>7865</v>
      </c>
      <c r="K17" s="49"/>
      <c r="L17" s="48">
        <v>52634</v>
      </c>
      <c r="M17" s="48"/>
      <c r="N17" s="68">
        <f t="shared" si="3"/>
        <v>-4173</v>
      </c>
    </row>
    <row r="18" spans="1:16" x14ac:dyDescent="0.25">
      <c r="A18" s="36"/>
      <c r="B18" s="74"/>
      <c r="C18" s="39"/>
      <c r="D18" s="39"/>
      <c r="E18" s="39" t="s">
        <v>78</v>
      </c>
      <c r="F18" s="48">
        <v>58554</v>
      </c>
      <c r="G18" s="49"/>
      <c r="H18" s="48">
        <v>0</v>
      </c>
      <c r="I18" s="48"/>
      <c r="J18" s="68">
        <f t="shared" si="2"/>
        <v>58554</v>
      </c>
      <c r="K18" s="49"/>
      <c r="L18" s="48">
        <v>85177</v>
      </c>
      <c r="M18" s="48"/>
      <c r="N18" s="68">
        <f t="shared" si="3"/>
        <v>-26623</v>
      </c>
    </row>
    <row r="19" spans="1:16" ht="16.5" thickBot="1" x14ac:dyDescent="0.3">
      <c r="A19" s="36"/>
      <c r="B19" s="74"/>
      <c r="C19" s="39"/>
      <c r="D19" s="39"/>
      <c r="E19" s="39" t="s">
        <v>77</v>
      </c>
      <c r="F19" s="50">
        <v>45657</v>
      </c>
      <c r="G19" s="51"/>
      <c r="H19" s="50">
        <v>1000</v>
      </c>
      <c r="I19" s="50"/>
      <c r="J19" s="69">
        <f t="shared" si="2"/>
        <v>44657</v>
      </c>
      <c r="K19" s="51"/>
      <c r="L19" s="50">
        <v>21406</v>
      </c>
      <c r="M19" s="50"/>
      <c r="N19" s="69">
        <f t="shared" si="3"/>
        <v>24251</v>
      </c>
    </row>
    <row r="20" spans="1:16" x14ac:dyDescent="0.25">
      <c r="A20" s="36"/>
      <c r="B20" s="74"/>
      <c r="C20" s="39"/>
      <c r="D20" s="39" t="s">
        <v>76</v>
      </c>
      <c r="E20" s="39"/>
      <c r="F20" s="48">
        <f>ROUND(SUM(F7:F19),5)</f>
        <v>3619470.6</v>
      </c>
      <c r="G20" s="49"/>
      <c r="H20" s="48">
        <f>ROUND(SUM(H7:H19),5)</f>
        <v>3312098</v>
      </c>
      <c r="I20" s="48"/>
      <c r="J20" s="68">
        <f t="shared" si="2"/>
        <v>307372.59999999998</v>
      </c>
      <c r="K20" s="49"/>
      <c r="L20" s="48">
        <f>ROUND(SUM(L7:L19),5)</f>
        <v>2510459</v>
      </c>
      <c r="M20" s="48"/>
      <c r="N20" s="68">
        <f t="shared" si="3"/>
        <v>1109011.6000000001</v>
      </c>
    </row>
    <row r="21" spans="1:16" x14ac:dyDescent="0.25">
      <c r="A21" s="36"/>
      <c r="B21" s="74"/>
      <c r="C21" s="39"/>
      <c r="D21" s="39"/>
      <c r="E21" s="39"/>
      <c r="F21" s="48"/>
      <c r="G21" s="49"/>
      <c r="H21" s="48"/>
      <c r="I21" s="48"/>
      <c r="J21" s="68"/>
      <c r="K21" s="49"/>
      <c r="L21" s="48"/>
      <c r="M21" s="48"/>
      <c r="N21" s="68"/>
    </row>
    <row r="22" spans="1:16" x14ac:dyDescent="0.25">
      <c r="A22" s="36"/>
      <c r="B22" s="74"/>
      <c r="C22" s="39"/>
      <c r="D22" s="39" t="s">
        <v>92</v>
      </c>
      <c r="E22" s="39"/>
      <c r="F22" s="48"/>
      <c r="G22" s="49"/>
      <c r="H22" s="48"/>
      <c r="I22" s="48"/>
      <c r="J22" s="68"/>
      <c r="K22" s="49"/>
      <c r="L22" s="48"/>
      <c r="M22" s="48"/>
      <c r="N22" s="68"/>
    </row>
    <row r="23" spans="1:16" x14ac:dyDescent="0.25">
      <c r="A23" s="36"/>
      <c r="B23" s="74"/>
      <c r="C23" s="39"/>
      <c r="D23" s="39"/>
      <c r="E23" s="39" t="s">
        <v>75</v>
      </c>
      <c r="F23" s="48">
        <v>1585480</v>
      </c>
      <c r="G23" s="49"/>
      <c r="H23" s="48">
        <v>1957730</v>
      </c>
      <c r="I23" s="48"/>
      <c r="J23" s="68">
        <f t="shared" ref="J23:J31" si="4">ROUND((F23-H23),5)</f>
        <v>-372250</v>
      </c>
      <c r="K23" s="49"/>
      <c r="L23" s="48">
        <v>290220</v>
      </c>
      <c r="M23" s="48"/>
      <c r="N23" s="68">
        <f t="shared" ref="N23:N31" si="5">F23-L23</f>
        <v>1295260</v>
      </c>
      <c r="P23" s="91" t="s">
        <v>158</v>
      </c>
    </row>
    <row r="24" spans="1:16" x14ac:dyDescent="0.25">
      <c r="A24" s="36"/>
      <c r="B24" s="74"/>
      <c r="C24" s="39"/>
      <c r="D24" s="39"/>
      <c r="E24" s="39" t="s">
        <v>74</v>
      </c>
      <c r="F24" s="48">
        <v>899919</v>
      </c>
      <c r="G24" s="49"/>
      <c r="H24" s="48">
        <v>1004445</v>
      </c>
      <c r="I24" s="48"/>
      <c r="J24" s="68">
        <f t="shared" si="4"/>
        <v>-104526</v>
      </c>
      <c r="K24" s="49"/>
      <c r="L24" s="48">
        <v>195634</v>
      </c>
      <c r="M24" s="48"/>
      <c r="N24" s="68">
        <f t="shared" si="5"/>
        <v>704285</v>
      </c>
      <c r="P24" s="91" t="s">
        <v>159</v>
      </c>
    </row>
    <row r="25" spans="1:16" x14ac:dyDescent="0.25">
      <c r="A25" s="36"/>
      <c r="B25" s="74"/>
      <c r="C25" s="39"/>
      <c r="D25" s="39"/>
      <c r="E25" s="39" t="s">
        <v>97</v>
      </c>
      <c r="F25" s="48">
        <v>45432</v>
      </c>
      <c r="G25" s="49"/>
      <c r="H25" s="48">
        <v>40000</v>
      </c>
      <c r="I25" s="48"/>
      <c r="J25" s="68">
        <f t="shared" si="4"/>
        <v>5432</v>
      </c>
      <c r="K25" s="49"/>
      <c r="L25" s="48">
        <v>55569</v>
      </c>
      <c r="M25" s="48"/>
      <c r="N25" s="68">
        <f t="shared" si="5"/>
        <v>-10137</v>
      </c>
    </row>
    <row r="26" spans="1:16" x14ac:dyDescent="0.25">
      <c r="A26" s="36"/>
      <c r="B26" s="74"/>
      <c r="C26" s="39"/>
      <c r="D26" s="39"/>
      <c r="E26" s="39" t="s">
        <v>73</v>
      </c>
      <c r="F26" s="48">
        <v>14283</v>
      </c>
      <c r="G26" s="49"/>
      <c r="H26" s="48">
        <v>4500</v>
      </c>
      <c r="I26" s="48"/>
      <c r="J26" s="68">
        <f t="shared" si="4"/>
        <v>9783</v>
      </c>
      <c r="K26" s="49"/>
      <c r="L26" s="48">
        <v>14416</v>
      </c>
      <c r="M26" s="48"/>
      <c r="N26" s="68">
        <f t="shared" si="5"/>
        <v>-133</v>
      </c>
    </row>
    <row r="27" spans="1:16" x14ac:dyDescent="0.25">
      <c r="A27" s="36"/>
      <c r="B27" s="74"/>
      <c r="C27" s="39"/>
      <c r="D27" s="39"/>
      <c r="E27" s="39" t="s">
        <v>72</v>
      </c>
      <c r="F27" s="48">
        <v>4607</v>
      </c>
      <c r="G27" s="49"/>
      <c r="H27" s="48">
        <v>2357</v>
      </c>
      <c r="I27" s="48"/>
      <c r="J27" s="68">
        <f t="shared" si="4"/>
        <v>2250</v>
      </c>
      <c r="K27" s="49"/>
      <c r="L27" s="48">
        <v>7912</v>
      </c>
      <c r="M27" s="48"/>
      <c r="N27" s="68">
        <f t="shared" si="5"/>
        <v>-3305</v>
      </c>
    </row>
    <row r="28" spans="1:16" x14ac:dyDescent="0.25">
      <c r="A28" s="36"/>
      <c r="B28" s="74"/>
      <c r="C28" s="39"/>
      <c r="D28" s="39"/>
      <c r="E28" s="39" t="s">
        <v>91</v>
      </c>
      <c r="F28" s="48">
        <v>3799</v>
      </c>
      <c r="G28" s="49"/>
      <c r="H28" s="48">
        <v>9400</v>
      </c>
      <c r="I28" s="48"/>
      <c r="J28" s="68">
        <f t="shared" si="4"/>
        <v>-5601</v>
      </c>
      <c r="K28" s="49"/>
      <c r="L28" s="48">
        <v>23796</v>
      </c>
      <c r="M28" s="48"/>
      <c r="N28" s="68">
        <f t="shared" si="5"/>
        <v>-19997</v>
      </c>
    </row>
    <row r="29" spans="1:16" ht="16.5" thickBot="1" x14ac:dyDescent="0.3">
      <c r="A29" s="36"/>
      <c r="B29" s="74"/>
      <c r="C29" s="39"/>
      <c r="D29" s="39"/>
      <c r="E29" s="39" t="s">
        <v>71</v>
      </c>
      <c r="F29" s="52">
        <v>2033</v>
      </c>
      <c r="G29" s="53"/>
      <c r="H29" s="52">
        <v>1236</v>
      </c>
      <c r="I29" s="52"/>
      <c r="J29" s="70">
        <f t="shared" si="4"/>
        <v>797</v>
      </c>
      <c r="K29" s="53"/>
      <c r="L29" s="52">
        <v>4923</v>
      </c>
      <c r="M29" s="52"/>
      <c r="N29" s="70">
        <f t="shared" si="5"/>
        <v>-2890</v>
      </c>
    </row>
    <row r="30" spans="1:16" ht="16.5" thickBot="1" x14ac:dyDescent="0.3">
      <c r="A30" s="36"/>
      <c r="B30" s="74"/>
      <c r="C30" s="39"/>
      <c r="D30" s="39" t="s">
        <v>93</v>
      </c>
      <c r="E30" s="39"/>
      <c r="F30" s="54">
        <f>ROUND(SUM(F22:F29),5)</f>
        <v>2555553</v>
      </c>
      <c r="G30" s="55"/>
      <c r="H30" s="54">
        <f>ROUND(SUM(H22:H29),5)</f>
        <v>3019668</v>
      </c>
      <c r="I30" s="54"/>
      <c r="J30" s="71">
        <f t="shared" si="4"/>
        <v>-464115</v>
      </c>
      <c r="K30" s="55"/>
      <c r="L30" s="54">
        <f>ROUND(SUM(L22:L29),5)</f>
        <v>592470</v>
      </c>
      <c r="M30" s="54"/>
      <c r="N30" s="71">
        <f t="shared" si="5"/>
        <v>1963083</v>
      </c>
    </row>
    <row r="31" spans="1:16" x14ac:dyDescent="0.25">
      <c r="A31" s="36"/>
      <c r="B31" s="74"/>
      <c r="C31" s="39" t="s">
        <v>70</v>
      </c>
      <c r="D31" s="39"/>
      <c r="E31" s="39"/>
      <c r="F31" s="48">
        <f>ROUND(F20-F30,5)</f>
        <v>1063917.6000000001</v>
      </c>
      <c r="G31" s="49"/>
      <c r="H31" s="48">
        <f>ROUND(H20-H30,5)</f>
        <v>292430</v>
      </c>
      <c r="I31" s="48"/>
      <c r="J31" s="68">
        <f t="shared" si="4"/>
        <v>771487.6</v>
      </c>
      <c r="K31" s="49"/>
      <c r="L31" s="48">
        <f>ROUND(L20-L30,5)</f>
        <v>1917989</v>
      </c>
      <c r="M31" s="48"/>
      <c r="N31" s="68">
        <f t="shared" si="5"/>
        <v>-854071.39999999991</v>
      </c>
    </row>
    <row r="32" spans="1:16" x14ac:dyDescent="0.25">
      <c r="A32" s="36"/>
      <c r="B32" s="74"/>
      <c r="C32" s="39"/>
      <c r="D32" s="39"/>
      <c r="E32" s="39"/>
      <c r="F32" s="48"/>
      <c r="G32" s="49"/>
      <c r="H32" s="48"/>
      <c r="I32" s="48"/>
      <c r="J32" s="68"/>
      <c r="K32" s="49"/>
      <c r="L32" s="48"/>
      <c r="M32" s="48"/>
      <c r="N32" s="68"/>
    </row>
    <row r="33" spans="1:14" x14ac:dyDescent="0.25">
      <c r="A33" s="36"/>
      <c r="B33" s="74"/>
      <c r="C33" s="39"/>
      <c r="D33" s="39" t="s">
        <v>69</v>
      </c>
      <c r="E33" s="39"/>
      <c r="F33" s="48"/>
      <c r="G33" s="49"/>
      <c r="H33" s="48"/>
      <c r="I33" s="48"/>
      <c r="J33" s="68"/>
      <c r="K33" s="49"/>
      <c r="L33" s="48"/>
      <c r="M33" s="48"/>
      <c r="N33" s="68"/>
    </row>
    <row r="34" spans="1:14" x14ac:dyDescent="0.25">
      <c r="A34" s="36"/>
      <c r="B34" s="74"/>
      <c r="C34" s="39"/>
      <c r="D34" s="39"/>
      <c r="E34" s="39" t="s">
        <v>68</v>
      </c>
      <c r="F34" s="48">
        <v>33478</v>
      </c>
      <c r="G34" s="49"/>
      <c r="H34" s="48">
        <v>3644</v>
      </c>
      <c r="I34" s="48"/>
      <c r="J34" s="68">
        <f t="shared" ref="J34:J42" si="6">ROUND((F34-H34),5)</f>
        <v>29834</v>
      </c>
      <c r="K34" s="49"/>
      <c r="L34" s="48">
        <v>6525</v>
      </c>
      <c r="M34" s="48"/>
      <c r="N34" s="68">
        <f t="shared" ref="N34:N55" si="7">F34-L34</f>
        <v>26953</v>
      </c>
    </row>
    <row r="35" spans="1:14" x14ac:dyDescent="0.25">
      <c r="A35" s="36"/>
      <c r="B35" s="74"/>
      <c r="C35" s="39"/>
      <c r="D35" s="39"/>
      <c r="E35" s="39" t="s">
        <v>144</v>
      </c>
      <c r="F35" s="48">
        <v>0</v>
      </c>
      <c r="G35" s="49"/>
      <c r="H35" s="48">
        <v>668</v>
      </c>
      <c r="I35" s="48"/>
      <c r="J35" s="68">
        <f t="shared" si="6"/>
        <v>-668</v>
      </c>
      <c r="K35" s="49"/>
      <c r="L35" s="48">
        <v>0</v>
      </c>
      <c r="M35" s="48"/>
      <c r="N35" s="68">
        <f t="shared" si="7"/>
        <v>0</v>
      </c>
    </row>
    <row r="36" spans="1:14" x14ac:dyDescent="0.25">
      <c r="A36" s="36"/>
      <c r="B36" s="74"/>
      <c r="C36" s="39"/>
      <c r="D36" s="39"/>
      <c r="E36" s="39" t="s">
        <v>67</v>
      </c>
      <c r="F36" s="48">
        <v>17772</v>
      </c>
      <c r="G36" s="49"/>
      <c r="H36" s="48">
        <v>22000</v>
      </c>
      <c r="I36" s="48"/>
      <c r="J36" s="68">
        <f t="shared" si="6"/>
        <v>-4228</v>
      </c>
      <c r="K36" s="49"/>
      <c r="L36" s="48">
        <v>28698</v>
      </c>
      <c r="M36" s="48"/>
      <c r="N36" s="68">
        <f t="shared" si="7"/>
        <v>-10926</v>
      </c>
    </row>
    <row r="37" spans="1:14" x14ac:dyDescent="0.25">
      <c r="A37" s="36"/>
      <c r="B37" s="74"/>
      <c r="C37" s="39"/>
      <c r="D37" s="39"/>
      <c r="E37" s="39" t="s">
        <v>90</v>
      </c>
      <c r="F37" s="48">
        <v>0</v>
      </c>
      <c r="G37" s="49"/>
      <c r="H37" s="48">
        <v>0</v>
      </c>
      <c r="I37" s="48"/>
      <c r="J37" s="68">
        <f t="shared" si="6"/>
        <v>0</v>
      </c>
      <c r="K37" s="49"/>
      <c r="L37" s="48">
        <v>1192</v>
      </c>
      <c r="M37" s="48"/>
      <c r="N37" s="68">
        <f t="shared" si="7"/>
        <v>-1192</v>
      </c>
    </row>
    <row r="38" spans="1:14" x14ac:dyDescent="0.25">
      <c r="A38" s="36"/>
      <c r="B38" s="74"/>
      <c r="C38" s="39"/>
      <c r="D38" s="39"/>
      <c r="E38" s="39" t="s">
        <v>66</v>
      </c>
      <c r="F38" s="48">
        <v>1286</v>
      </c>
      <c r="G38" s="49"/>
      <c r="H38" s="48">
        <v>1600</v>
      </c>
      <c r="I38" s="48"/>
      <c r="J38" s="68">
        <f t="shared" si="6"/>
        <v>-314</v>
      </c>
      <c r="K38" s="49"/>
      <c r="L38" s="48">
        <v>2584</v>
      </c>
      <c r="M38" s="48"/>
      <c r="N38" s="68">
        <f t="shared" si="7"/>
        <v>-1298</v>
      </c>
    </row>
    <row r="39" spans="1:14" x14ac:dyDescent="0.25">
      <c r="A39" s="36"/>
      <c r="B39" s="74"/>
      <c r="C39" s="39"/>
      <c r="D39" s="39"/>
      <c r="E39" s="39" t="s">
        <v>65</v>
      </c>
      <c r="F39" s="48">
        <v>1988</v>
      </c>
      <c r="G39" s="49"/>
      <c r="H39" s="48">
        <v>1240</v>
      </c>
      <c r="I39" s="48"/>
      <c r="J39" s="68">
        <f t="shared" si="6"/>
        <v>748</v>
      </c>
      <c r="K39" s="49"/>
      <c r="L39" s="48">
        <v>3211</v>
      </c>
      <c r="M39" s="48"/>
      <c r="N39" s="68">
        <f t="shared" si="7"/>
        <v>-1223</v>
      </c>
    </row>
    <row r="40" spans="1:14" x14ac:dyDescent="0.25">
      <c r="A40" s="36"/>
      <c r="B40" s="74"/>
      <c r="C40" s="39"/>
      <c r="D40" s="39"/>
      <c r="E40" s="39" t="s">
        <v>64</v>
      </c>
      <c r="F40" s="48">
        <v>80148</v>
      </c>
      <c r="G40" s="49"/>
      <c r="H40" s="48">
        <v>38604</v>
      </c>
      <c r="I40" s="48"/>
      <c r="J40" s="68">
        <f t="shared" si="6"/>
        <v>41544</v>
      </c>
      <c r="K40" s="49"/>
      <c r="L40" s="48">
        <v>78849</v>
      </c>
      <c r="M40" s="48"/>
      <c r="N40" s="68">
        <f t="shared" si="7"/>
        <v>1299</v>
      </c>
    </row>
    <row r="41" spans="1:14" x14ac:dyDescent="0.25">
      <c r="A41" s="36"/>
      <c r="B41" s="74"/>
      <c r="C41" s="39"/>
      <c r="D41" s="39"/>
      <c r="E41" s="39" t="s">
        <v>63</v>
      </c>
      <c r="F41" s="48">
        <v>55941</v>
      </c>
      <c r="G41" s="49"/>
      <c r="H41" s="48">
        <v>27648</v>
      </c>
      <c r="I41" s="48"/>
      <c r="J41" s="68">
        <f t="shared" si="6"/>
        <v>28293</v>
      </c>
      <c r="K41" s="49"/>
      <c r="L41" s="48">
        <v>50217</v>
      </c>
      <c r="M41" s="48"/>
      <c r="N41" s="68">
        <f t="shared" si="7"/>
        <v>5724</v>
      </c>
    </row>
    <row r="42" spans="1:14" x14ac:dyDescent="0.25">
      <c r="A42" s="36"/>
      <c r="B42" s="74"/>
      <c r="C42" s="39"/>
      <c r="D42" s="39"/>
      <c r="E42" s="39" t="s">
        <v>62</v>
      </c>
      <c r="F42" s="48">
        <v>320</v>
      </c>
      <c r="G42" s="49"/>
      <c r="H42" s="48">
        <v>68</v>
      </c>
      <c r="I42" s="48"/>
      <c r="J42" s="68">
        <f t="shared" si="6"/>
        <v>252</v>
      </c>
      <c r="K42" s="49"/>
      <c r="L42" s="48">
        <v>698</v>
      </c>
      <c r="M42" s="48"/>
      <c r="N42" s="68">
        <f t="shared" si="7"/>
        <v>-378</v>
      </c>
    </row>
    <row r="43" spans="1:14" x14ac:dyDescent="0.25">
      <c r="A43" s="36"/>
      <c r="B43" s="74"/>
      <c r="C43" s="39"/>
      <c r="D43" s="39"/>
      <c r="E43" s="39" t="s">
        <v>61</v>
      </c>
      <c r="F43" s="48">
        <v>985</v>
      </c>
      <c r="G43" s="49"/>
      <c r="H43" s="48">
        <v>0</v>
      </c>
      <c r="I43" s="48"/>
      <c r="J43" s="68">
        <v>0</v>
      </c>
      <c r="K43" s="49"/>
      <c r="L43" s="48">
        <v>1401</v>
      </c>
      <c r="M43" s="56"/>
      <c r="N43" s="68">
        <f t="shared" si="7"/>
        <v>-416</v>
      </c>
    </row>
    <row r="44" spans="1:14" x14ac:dyDescent="0.25">
      <c r="A44" s="36"/>
      <c r="B44" s="74"/>
      <c r="C44" s="39"/>
      <c r="D44" s="39"/>
      <c r="E44" s="39" t="s">
        <v>60</v>
      </c>
      <c r="F44" s="48">
        <v>598202</v>
      </c>
      <c r="G44" s="49"/>
      <c r="H44" s="48">
        <v>603256</v>
      </c>
      <c r="I44" s="48"/>
      <c r="J44" s="68">
        <f t="shared" ref="J44:J55" si="8">ROUND((F44-H44),5)</f>
        <v>-5054</v>
      </c>
      <c r="K44" s="49"/>
      <c r="L44" s="48">
        <v>588750</v>
      </c>
      <c r="M44" s="48"/>
      <c r="N44" s="68">
        <f t="shared" si="7"/>
        <v>9452</v>
      </c>
    </row>
    <row r="45" spans="1:14" x14ac:dyDescent="0.25">
      <c r="A45" s="36"/>
      <c r="B45" s="74"/>
      <c r="C45" s="39"/>
      <c r="D45" s="39"/>
      <c r="E45" s="39" t="s">
        <v>59</v>
      </c>
      <c r="F45" s="48">
        <v>126453</v>
      </c>
      <c r="G45" s="49"/>
      <c r="H45" s="48">
        <v>117984</v>
      </c>
      <c r="I45" s="48"/>
      <c r="J45" s="68">
        <f t="shared" si="8"/>
        <v>8469</v>
      </c>
      <c r="K45" s="49"/>
      <c r="L45" s="48">
        <v>119713</v>
      </c>
      <c r="M45" s="48"/>
      <c r="N45" s="68">
        <f t="shared" si="7"/>
        <v>6740</v>
      </c>
    </row>
    <row r="46" spans="1:14" x14ac:dyDescent="0.25">
      <c r="A46" s="36"/>
      <c r="B46" s="74"/>
      <c r="C46" s="39"/>
      <c r="D46" s="39"/>
      <c r="E46" s="39" t="s">
        <v>58</v>
      </c>
      <c r="F46" s="48">
        <v>14990</v>
      </c>
      <c r="G46" s="49"/>
      <c r="H46" s="48">
        <v>8463</v>
      </c>
      <c r="I46" s="48"/>
      <c r="J46" s="68">
        <f t="shared" si="8"/>
        <v>6527</v>
      </c>
      <c r="K46" s="49"/>
      <c r="L46" s="48">
        <v>15637</v>
      </c>
      <c r="M46" s="48"/>
      <c r="N46" s="68">
        <f t="shared" si="7"/>
        <v>-647</v>
      </c>
    </row>
    <row r="47" spans="1:14" x14ac:dyDescent="0.25">
      <c r="A47" s="36"/>
      <c r="B47" s="74"/>
      <c r="C47" s="39"/>
      <c r="D47" s="39"/>
      <c r="E47" s="39" t="s">
        <v>57</v>
      </c>
      <c r="F47" s="48">
        <v>3231.78</v>
      </c>
      <c r="G47" s="49"/>
      <c r="H47" s="48">
        <v>1172</v>
      </c>
      <c r="I47" s="48"/>
      <c r="J47" s="68">
        <f t="shared" si="8"/>
        <v>2059.7800000000002</v>
      </c>
      <c r="K47" s="49"/>
      <c r="L47" s="48">
        <v>2687</v>
      </c>
      <c r="M47" s="48"/>
      <c r="N47" s="68">
        <f t="shared" si="7"/>
        <v>544.7800000000002</v>
      </c>
    </row>
    <row r="48" spans="1:14" x14ac:dyDescent="0.25">
      <c r="A48" s="36"/>
      <c r="B48" s="74"/>
      <c r="C48" s="39"/>
      <c r="D48" s="39"/>
      <c r="E48" s="39" t="s">
        <v>56</v>
      </c>
      <c r="F48" s="48">
        <v>7494</v>
      </c>
      <c r="G48" s="49"/>
      <c r="H48" s="48">
        <v>7408</v>
      </c>
      <c r="I48" s="48"/>
      <c r="J48" s="68">
        <f t="shared" si="8"/>
        <v>86</v>
      </c>
      <c r="K48" s="49"/>
      <c r="L48" s="48">
        <v>3965</v>
      </c>
      <c r="M48" s="48"/>
      <c r="N48" s="68">
        <f t="shared" si="7"/>
        <v>3529</v>
      </c>
    </row>
    <row r="49" spans="1:16" x14ac:dyDescent="0.25">
      <c r="A49" s="36"/>
      <c r="B49" s="74"/>
      <c r="C49" s="39"/>
      <c r="D49" s="39"/>
      <c r="E49" s="39" t="s">
        <v>55</v>
      </c>
      <c r="F49" s="48">
        <v>16869</v>
      </c>
      <c r="G49" s="49"/>
      <c r="H49" s="48">
        <v>6000</v>
      </c>
      <c r="I49" s="48"/>
      <c r="J49" s="68">
        <f t="shared" si="8"/>
        <v>10869</v>
      </c>
      <c r="K49" s="49"/>
      <c r="L49" s="48">
        <v>21796</v>
      </c>
      <c r="M49" s="48"/>
      <c r="N49" s="68">
        <f t="shared" si="7"/>
        <v>-4927</v>
      </c>
    </row>
    <row r="50" spans="1:16" x14ac:dyDescent="0.25">
      <c r="A50" s="36"/>
      <c r="B50" s="74"/>
      <c r="C50" s="39"/>
      <c r="D50" s="39"/>
      <c r="E50" s="39" t="s">
        <v>54</v>
      </c>
      <c r="F50" s="48">
        <v>3657</v>
      </c>
      <c r="G50" s="49"/>
      <c r="H50" s="48">
        <v>832</v>
      </c>
      <c r="I50" s="48"/>
      <c r="J50" s="68">
        <f t="shared" si="8"/>
        <v>2825</v>
      </c>
      <c r="K50" s="49"/>
      <c r="L50" s="48">
        <v>1196</v>
      </c>
      <c r="M50" s="48"/>
      <c r="N50" s="68">
        <f t="shared" si="7"/>
        <v>2461</v>
      </c>
    </row>
    <row r="51" spans="1:16" x14ac:dyDescent="0.25">
      <c r="A51" s="36"/>
      <c r="B51" s="74"/>
      <c r="C51" s="39"/>
      <c r="D51" s="39"/>
      <c r="E51" s="39" t="s">
        <v>53</v>
      </c>
      <c r="F51" s="48">
        <v>22192</v>
      </c>
      <c r="G51" s="49"/>
      <c r="H51" s="48">
        <v>13172</v>
      </c>
      <c r="I51" s="48"/>
      <c r="J51" s="68">
        <f t="shared" si="8"/>
        <v>9020</v>
      </c>
      <c r="K51" s="49"/>
      <c r="L51" s="48">
        <v>28403</v>
      </c>
      <c r="M51" s="48"/>
      <c r="N51" s="68">
        <f t="shared" si="7"/>
        <v>-6211</v>
      </c>
    </row>
    <row r="52" spans="1:16" x14ac:dyDescent="0.25">
      <c r="A52" s="36"/>
      <c r="B52" s="74"/>
      <c r="C52" s="39"/>
      <c r="D52" s="39"/>
      <c r="E52" s="39" t="s">
        <v>52</v>
      </c>
      <c r="F52" s="48">
        <v>38656</v>
      </c>
      <c r="G52" s="49"/>
      <c r="H52" s="48">
        <v>11780</v>
      </c>
      <c r="I52" s="48"/>
      <c r="J52" s="68">
        <f t="shared" si="8"/>
        <v>26876</v>
      </c>
      <c r="K52" s="49"/>
      <c r="L52" s="48">
        <v>25131</v>
      </c>
      <c r="M52" s="48"/>
      <c r="N52" s="68">
        <f t="shared" si="7"/>
        <v>13525</v>
      </c>
    </row>
    <row r="53" spans="1:16" ht="16.5" thickBot="1" x14ac:dyDescent="0.3">
      <c r="A53" s="36"/>
      <c r="B53" s="74"/>
      <c r="C53" s="39"/>
      <c r="D53" s="39"/>
      <c r="E53" s="39" t="s">
        <v>51</v>
      </c>
      <c r="F53" s="48">
        <v>3729</v>
      </c>
      <c r="G53" s="49"/>
      <c r="H53" s="48">
        <v>1512</v>
      </c>
      <c r="I53" s="48"/>
      <c r="J53" s="68">
        <f t="shared" si="8"/>
        <v>2217</v>
      </c>
      <c r="K53" s="49"/>
      <c r="L53" s="48">
        <v>3619</v>
      </c>
      <c r="M53" s="48"/>
      <c r="N53" s="68">
        <f t="shared" si="7"/>
        <v>110</v>
      </c>
    </row>
    <row r="54" spans="1:16" ht="16.5" thickBot="1" x14ac:dyDescent="0.3">
      <c r="A54" s="36"/>
      <c r="B54" s="74"/>
      <c r="C54" s="39"/>
      <c r="D54" s="39" t="s">
        <v>50</v>
      </c>
      <c r="E54" s="39"/>
      <c r="F54" s="54">
        <f>ROUND(SUM(F33:F53),5)</f>
        <v>1027391.78</v>
      </c>
      <c r="G54" s="55"/>
      <c r="H54" s="54">
        <f>ROUND(SUM(H33:H53),5)</f>
        <v>867051</v>
      </c>
      <c r="I54" s="54"/>
      <c r="J54" s="71">
        <f t="shared" si="8"/>
        <v>160340.78</v>
      </c>
      <c r="K54" s="55"/>
      <c r="L54" s="54">
        <f>ROUND(SUM(L33:L53),5)</f>
        <v>984272</v>
      </c>
      <c r="M54" s="54"/>
      <c r="N54" s="71">
        <f t="shared" si="7"/>
        <v>43119.780000000028</v>
      </c>
    </row>
    <row r="55" spans="1:16" x14ac:dyDescent="0.25">
      <c r="A55" s="36"/>
      <c r="B55" s="74" t="s">
        <v>49</v>
      </c>
      <c r="C55" s="39"/>
      <c r="D55" s="39"/>
      <c r="E55" s="39"/>
      <c r="F55" s="48">
        <f>ROUND(F6+F31-F54,5)</f>
        <v>36525.82</v>
      </c>
      <c r="G55" s="49"/>
      <c r="H55" s="48">
        <f>ROUND(H6+H31-H54,5)</f>
        <v>-574621</v>
      </c>
      <c r="I55" s="48"/>
      <c r="J55" s="68">
        <f t="shared" si="8"/>
        <v>611146.81999999995</v>
      </c>
      <c r="K55" s="49"/>
      <c r="L55" s="48">
        <f>ROUND(L6+L31-L54,5)</f>
        <v>933717</v>
      </c>
      <c r="M55" s="48"/>
      <c r="N55" s="68">
        <f t="shared" si="7"/>
        <v>-897191.18</v>
      </c>
    </row>
    <row r="56" spans="1:16" ht="10.5" customHeight="1" x14ac:dyDescent="0.25">
      <c r="A56" s="36"/>
      <c r="B56" s="74"/>
      <c r="C56" s="39"/>
      <c r="D56" s="39"/>
      <c r="E56" s="39"/>
      <c r="F56" s="48"/>
      <c r="G56" s="49"/>
      <c r="H56" s="48"/>
      <c r="I56" s="48"/>
      <c r="J56" s="68"/>
      <c r="K56" s="49"/>
      <c r="L56" s="48"/>
      <c r="M56" s="48"/>
      <c r="N56" s="68"/>
    </row>
    <row r="57" spans="1:16" x14ac:dyDescent="0.25">
      <c r="A57" s="36"/>
      <c r="B57" s="74" t="s">
        <v>48</v>
      </c>
      <c r="C57" s="39"/>
      <c r="D57" s="39"/>
      <c r="E57" s="39"/>
      <c r="F57" s="48"/>
      <c r="G57" s="49"/>
      <c r="H57" s="48"/>
      <c r="I57" s="48"/>
      <c r="J57" s="68"/>
      <c r="K57" s="49"/>
      <c r="L57" s="48"/>
      <c r="M57" s="48"/>
      <c r="N57" s="68"/>
    </row>
    <row r="58" spans="1:16" x14ac:dyDescent="0.25">
      <c r="A58" s="36"/>
      <c r="B58" s="74"/>
      <c r="C58" s="39" t="s">
        <v>47</v>
      </c>
      <c r="D58" s="39"/>
      <c r="E58" s="39"/>
      <c r="F58" s="48"/>
      <c r="G58" s="49"/>
      <c r="H58" s="48"/>
      <c r="I58" s="48"/>
      <c r="J58" s="68"/>
      <c r="K58" s="49"/>
      <c r="L58" s="48"/>
      <c r="M58" s="48"/>
      <c r="N58" s="68"/>
    </row>
    <row r="59" spans="1:16" x14ac:dyDescent="0.25">
      <c r="A59" s="36"/>
      <c r="B59" s="74"/>
      <c r="C59" s="39"/>
      <c r="D59" s="39" t="s">
        <v>46</v>
      </c>
      <c r="E59" s="39"/>
      <c r="F59" s="48">
        <v>7630</v>
      </c>
      <c r="G59" s="49"/>
      <c r="H59" s="48">
        <v>0</v>
      </c>
      <c r="I59" s="48"/>
      <c r="J59" s="68">
        <f>ROUND((F59-H59),5)</f>
        <v>7630</v>
      </c>
      <c r="K59" s="49"/>
      <c r="L59" s="48">
        <v>12541</v>
      </c>
      <c r="M59" s="48"/>
      <c r="N59" s="68">
        <f>F59-L59</f>
        <v>-4911</v>
      </c>
    </row>
    <row r="60" spans="1:16" ht="16.5" thickBot="1" x14ac:dyDescent="0.3">
      <c r="A60" s="36"/>
      <c r="B60" s="74"/>
      <c r="C60" s="39"/>
      <c r="D60" s="39" t="s">
        <v>45</v>
      </c>
      <c r="E60" s="39"/>
      <c r="F60" s="52">
        <v>25270</v>
      </c>
      <c r="G60" s="53"/>
      <c r="H60" s="52">
        <v>12337</v>
      </c>
      <c r="I60" s="52"/>
      <c r="J60" s="70">
        <f>ROUND((F60-H60),5)</f>
        <v>12933</v>
      </c>
      <c r="K60" s="53"/>
      <c r="L60" s="52">
        <v>35887</v>
      </c>
      <c r="M60" s="52"/>
      <c r="N60" s="70">
        <f>F60-L60</f>
        <v>-10617</v>
      </c>
    </row>
    <row r="61" spans="1:16" ht="16.5" thickBot="1" x14ac:dyDescent="0.3">
      <c r="A61" s="36"/>
      <c r="B61" s="74"/>
      <c r="C61" s="39" t="s">
        <v>44</v>
      </c>
      <c r="D61" s="39"/>
      <c r="E61" s="39"/>
      <c r="F61" s="57">
        <f>ROUND(SUM(F58:F60),5)</f>
        <v>32900</v>
      </c>
      <c r="G61" s="58"/>
      <c r="H61" s="57">
        <f>ROUND(SUM(H58:H60),5)</f>
        <v>12337</v>
      </c>
      <c r="I61" s="57"/>
      <c r="J61" s="72">
        <f>ROUND((F61-H61),5)</f>
        <v>20563</v>
      </c>
      <c r="K61" s="58"/>
      <c r="L61" s="57">
        <f>ROUND(SUM(L58:L60),5)</f>
        <v>48428</v>
      </c>
      <c r="M61" s="57"/>
      <c r="N61" s="72">
        <f>F61-L61</f>
        <v>-15528</v>
      </c>
    </row>
    <row r="62" spans="1:16" ht="16.5" hidden="1" thickBot="1" x14ac:dyDescent="0.3">
      <c r="A62" s="36"/>
      <c r="B62" s="74" t="s">
        <v>43</v>
      </c>
      <c r="C62" s="39"/>
      <c r="D62" s="39"/>
      <c r="E62" s="39"/>
      <c r="F62" s="57">
        <f>ROUND(F57-F61,5)</f>
        <v>-32900</v>
      </c>
      <c r="G62" s="58"/>
      <c r="H62" s="57">
        <f>ROUND(H57-H61,5)</f>
        <v>-12337</v>
      </c>
      <c r="I62" s="57"/>
      <c r="J62" s="72">
        <f>ROUND((F62-H62),5)</f>
        <v>-20563</v>
      </c>
      <c r="K62" s="58"/>
      <c r="L62" s="57">
        <f>ROUND(L57-L61,5)</f>
        <v>-48428</v>
      </c>
      <c r="M62" s="57"/>
      <c r="N62" s="72">
        <f>F62-L62</f>
        <v>15528</v>
      </c>
    </row>
    <row r="63" spans="1:16" ht="11.25" customHeight="1" thickBot="1" x14ac:dyDescent="0.3">
      <c r="A63" s="36"/>
      <c r="B63" s="74"/>
      <c r="C63" s="39"/>
      <c r="D63" s="39"/>
      <c r="E63" s="39"/>
      <c r="F63" s="57"/>
      <c r="G63" s="58"/>
      <c r="H63" s="57"/>
      <c r="I63" s="57"/>
      <c r="J63" s="72"/>
      <c r="K63" s="58"/>
      <c r="L63" s="57"/>
      <c r="M63" s="57"/>
      <c r="N63" s="72"/>
    </row>
    <row r="64" spans="1:16" s="62" customFormat="1" ht="16.5" thickBot="1" x14ac:dyDescent="0.3">
      <c r="A64" s="36" t="s">
        <v>40</v>
      </c>
      <c r="B64" s="74"/>
      <c r="C64" s="39"/>
      <c r="D64" s="39"/>
      <c r="E64" s="39"/>
      <c r="F64" s="59">
        <f>ROUND(F55+F62,5)</f>
        <v>3625.82</v>
      </c>
      <c r="G64" s="60"/>
      <c r="H64" s="59">
        <f>ROUND(H55+H62,5)</f>
        <v>-586958</v>
      </c>
      <c r="I64" s="59"/>
      <c r="J64" s="73">
        <f>ROUND((F64-H64),5)</f>
        <v>590583.81999999995</v>
      </c>
      <c r="K64" s="60"/>
      <c r="L64" s="59">
        <f>ROUND(L55+L62,5)</f>
        <v>885289</v>
      </c>
      <c r="M64" s="59"/>
      <c r="N64" s="73">
        <f>F64-L64</f>
        <v>-881663.18</v>
      </c>
      <c r="O64" s="61"/>
      <c r="P64" s="93"/>
    </row>
    <row r="65" ht="16.5" thickTop="1" x14ac:dyDescent="0.25"/>
    <row r="67" ht="17.25" customHeight="1" x14ac:dyDescent="0.25"/>
  </sheetData>
  <mergeCells count="3">
    <mergeCell ref="A1:N1"/>
    <mergeCell ref="A2:N2"/>
    <mergeCell ref="A3:N3"/>
  </mergeCells>
  <printOptions horizontalCentered="1"/>
  <pageMargins left="0.45" right="0.45" top="0.25" bottom="0.25" header="0.1" footer="0.3"/>
  <pageSetup scale="76" orientation="portrait" r:id="rId1"/>
  <ignoredErrors>
    <ignoredError sqref="B46:B48 B50 B53 B54:B64" numberStoredAsText="1"/>
  </ignoredErrors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304800</xdr:colOff>
                <xdr:row>1</xdr:row>
                <xdr:rowOff>28575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304800</xdr:colOff>
                <xdr:row>1</xdr:row>
                <xdr:rowOff>28575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M60"/>
  <sheetViews>
    <sheetView showGridLines="0" topLeftCell="A37" workbookViewId="0">
      <selection activeCell="K21" sqref="K21"/>
    </sheetView>
  </sheetViews>
  <sheetFormatPr defaultRowHeight="15.75" x14ac:dyDescent="0.25"/>
  <cols>
    <col min="1" max="1" width="2.28515625" style="63" customWidth="1"/>
    <col min="2" max="2" width="2.28515625" style="99" customWidth="1"/>
    <col min="3" max="4" width="2.28515625" style="63" customWidth="1"/>
    <col min="5" max="5" width="32.5703125" style="63" customWidth="1"/>
    <col min="6" max="6" width="15.7109375" style="64" customWidth="1"/>
    <col min="7" max="7" width="1.7109375" style="65" customWidth="1"/>
    <col min="8" max="8" width="15.7109375" style="38" customWidth="1"/>
    <col min="9" max="9" width="1.7109375" style="38" customWidth="1"/>
    <col min="10" max="10" width="15.7109375" style="42" customWidth="1"/>
    <col min="11" max="11" width="4.5703125" style="37" customWidth="1"/>
    <col min="12" max="12" width="70.5703125" style="98" hidden="1" customWidth="1"/>
    <col min="13" max="13" width="94.5703125" style="38" bestFit="1" customWidth="1"/>
    <col min="14" max="16384" width="9.140625" style="38"/>
  </cols>
  <sheetData>
    <row r="1" spans="1:13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L1" s="37"/>
    </row>
    <row r="2" spans="1:13" x14ac:dyDescent="0.25">
      <c r="A2" s="115" t="s">
        <v>183</v>
      </c>
      <c r="B2" s="115"/>
      <c r="C2" s="115"/>
      <c r="D2" s="115"/>
      <c r="E2" s="115"/>
      <c r="F2" s="115"/>
      <c r="G2" s="115"/>
      <c r="H2" s="115"/>
      <c r="I2" s="115"/>
      <c r="J2" s="115"/>
      <c r="L2" s="37"/>
    </row>
    <row r="3" spans="1:13" x14ac:dyDescent="0.25">
      <c r="A3" s="115" t="s">
        <v>191</v>
      </c>
      <c r="B3" s="115"/>
      <c r="C3" s="115"/>
      <c r="D3" s="115"/>
      <c r="E3" s="115"/>
      <c r="F3" s="115"/>
      <c r="G3" s="115"/>
      <c r="H3" s="115"/>
      <c r="I3" s="115"/>
      <c r="J3" s="115"/>
      <c r="L3" s="37"/>
    </row>
    <row r="4" spans="1:13" ht="16.5" thickBot="1" x14ac:dyDescent="0.3">
      <c r="A4" s="39"/>
      <c r="B4" s="100"/>
      <c r="C4" s="39"/>
      <c r="D4" s="39"/>
      <c r="E4" s="39"/>
      <c r="F4" s="40"/>
      <c r="G4" s="41"/>
    </row>
    <row r="5" spans="1:13" s="45" customFormat="1" ht="16.5" thickBot="1" x14ac:dyDescent="0.3">
      <c r="A5" s="36"/>
      <c r="B5" s="111"/>
      <c r="C5" s="36"/>
      <c r="D5" s="36"/>
      <c r="E5" s="36"/>
      <c r="F5" s="110" t="s">
        <v>86</v>
      </c>
      <c r="G5" s="109"/>
      <c r="H5" s="108" t="s">
        <v>182</v>
      </c>
      <c r="I5" s="108"/>
      <c r="J5" s="107" t="s">
        <v>181</v>
      </c>
      <c r="L5" s="106" t="s">
        <v>180</v>
      </c>
      <c r="M5" s="106" t="s">
        <v>179</v>
      </c>
    </row>
    <row r="6" spans="1:13" x14ac:dyDescent="0.25">
      <c r="A6" s="39"/>
      <c r="B6" s="100" t="s">
        <v>85</v>
      </c>
      <c r="C6" s="39"/>
      <c r="D6" s="39"/>
      <c r="E6" s="39"/>
      <c r="F6" s="46"/>
      <c r="G6" s="47"/>
      <c r="H6" s="46"/>
      <c r="I6" s="46"/>
      <c r="J6" s="47"/>
    </row>
    <row r="7" spans="1:13" x14ac:dyDescent="0.25">
      <c r="A7" s="39"/>
      <c r="B7" s="100"/>
      <c r="C7" s="39"/>
      <c r="D7" s="39" t="s">
        <v>84</v>
      </c>
      <c r="E7" s="39"/>
      <c r="F7" s="46"/>
      <c r="G7" s="47"/>
      <c r="H7" s="46"/>
      <c r="I7" s="46"/>
      <c r="J7" s="47"/>
    </row>
    <row r="8" spans="1:13" x14ac:dyDescent="0.25">
      <c r="A8" s="39"/>
      <c r="B8" s="100"/>
      <c r="C8" s="39"/>
      <c r="D8" s="39"/>
      <c r="E8" s="39" t="s">
        <v>138</v>
      </c>
      <c r="F8" s="48">
        <v>0</v>
      </c>
      <c r="G8" s="49"/>
      <c r="H8" s="48">
        <f>164500+8390+8390</f>
        <v>181280</v>
      </c>
      <c r="I8" s="48"/>
      <c r="J8" s="49">
        <f t="shared" ref="J8:J20" si="0">F8-H8</f>
        <v>-181280</v>
      </c>
      <c r="M8" s="38" t="s">
        <v>192</v>
      </c>
    </row>
    <row r="9" spans="1:13" x14ac:dyDescent="0.25">
      <c r="A9" s="39"/>
      <c r="B9" s="100"/>
      <c r="C9" s="39"/>
      <c r="D9" s="39"/>
      <c r="E9" s="39" t="s">
        <v>178</v>
      </c>
      <c r="F9" s="48">
        <v>863941</v>
      </c>
      <c r="G9" s="49"/>
      <c r="H9" s="48">
        <v>863941</v>
      </c>
      <c r="I9" s="48"/>
      <c r="J9" s="49">
        <f t="shared" si="0"/>
        <v>0</v>
      </c>
      <c r="L9" s="98" t="s">
        <v>177</v>
      </c>
      <c r="M9" s="38" t="s">
        <v>176</v>
      </c>
    </row>
    <row r="10" spans="1:13" x14ac:dyDescent="0.25">
      <c r="A10" s="39"/>
      <c r="B10" s="100"/>
      <c r="C10" s="39"/>
      <c r="D10" s="39"/>
      <c r="E10" s="39" t="s">
        <v>139</v>
      </c>
      <c r="F10" s="48">
        <v>1532685</v>
      </c>
      <c r="G10" s="49"/>
      <c r="H10" s="48">
        <f>'[1]Projected Closings'!H27-H11</f>
        <v>1778646</v>
      </c>
      <c r="I10" s="48"/>
      <c r="J10" s="49">
        <f t="shared" si="0"/>
        <v>-245961</v>
      </c>
      <c r="L10" s="98" t="s">
        <v>167</v>
      </c>
      <c r="M10" s="38" t="s">
        <v>175</v>
      </c>
    </row>
    <row r="11" spans="1:13" x14ac:dyDescent="0.25">
      <c r="A11" s="39"/>
      <c r="B11" s="100"/>
      <c r="C11" s="39"/>
      <c r="D11" s="39"/>
      <c r="E11" s="39" t="s">
        <v>174</v>
      </c>
      <c r="F11" s="48">
        <v>0</v>
      </c>
      <c r="G11" s="49"/>
      <c r="H11" s="48">
        <f>187498+365297</f>
        <v>552795</v>
      </c>
      <c r="I11" s="48"/>
      <c r="J11" s="49">
        <f t="shared" si="0"/>
        <v>-552795</v>
      </c>
      <c r="M11" s="38" t="s">
        <v>193</v>
      </c>
    </row>
    <row r="12" spans="1:13" x14ac:dyDescent="0.25">
      <c r="A12" s="39"/>
      <c r="B12" s="100"/>
      <c r="C12" s="39"/>
      <c r="D12" s="39"/>
      <c r="E12" s="39" t="s">
        <v>98</v>
      </c>
      <c r="F12" s="48">
        <v>75000</v>
      </c>
      <c r="G12" s="49"/>
      <c r="H12" s="118">
        <v>37500</v>
      </c>
      <c r="I12" s="48"/>
      <c r="J12" s="49">
        <f t="shared" si="0"/>
        <v>37500</v>
      </c>
      <c r="L12" s="98" t="s">
        <v>173</v>
      </c>
      <c r="M12" s="98" t="s">
        <v>194</v>
      </c>
    </row>
    <row r="13" spans="1:13" x14ac:dyDescent="0.25">
      <c r="A13" s="39"/>
      <c r="B13" s="100"/>
      <c r="C13" s="39"/>
      <c r="D13" s="39"/>
      <c r="E13" s="39" t="s">
        <v>83</v>
      </c>
      <c r="F13" s="48">
        <v>529500</v>
      </c>
      <c r="G13" s="49"/>
      <c r="H13" s="118">
        <v>665000</v>
      </c>
      <c r="I13" s="48"/>
      <c r="J13" s="49">
        <f t="shared" si="0"/>
        <v>-135500</v>
      </c>
      <c r="L13" s="105" t="s">
        <v>172</v>
      </c>
      <c r="M13" s="105" t="s">
        <v>195</v>
      </c>
    </row>
    <row r="14" spans="1:13" x14ac:dyDescent="0.25">
      <c r="A14" s="39"/>
      <c r="B14" s="100"/>
      <c r="C14" s="39"/>
      <c r="D14" s="39"/>
      <c r="E14" s="39" t="s">
        <v>82</v>
      </c>
      <c r="F14" s="48">
        <v>603200</v>
      </c>
      <c r="G14" s="49"/>
      <c r="H14" s="48">
        <f>603200+28000</f>
        <v>631200</v>
      </c>
      <c r="I14" s="48"/>
      <c r="J14" s="49">
        <f t="shared" si="0"/>
        <v>-28000</v>
      </c>
      <c r="L14" s="98" t="s">
        <v>171</v>
      </c>
      <c r="M14" s="98" t="s">
        <v>196</v>
      </c>
    </row>
    <row r="15" spans="1:13" x14ac:dyDescent="0.25">
      <c r="A15" s="39"/>
      <c r="B15" s="100"/>
      <c r="C15" s="39"/>
      <c r="D15" s="39"/>
      <c r="E15" s="39" t="s">
        <v>81</v>
      </c>
      <c r="F15" s="48">
        <v>339600</v>
      </c>
      <c r="G15" s="49"/>
      <c r="H15" s="118">
        <v>503225</v>
      </c>
      <c r="I15" s="48"/>
      <c r="J15" s="49">
        <f t="shared" si="0"/>
        <v>-163625</v>
      </c>
      <c r="L15" s="98" t="s">
        <v>170</v>
      </c>
      <c r="M15" s="38" t="s">
        <v>197</v>
      </c>
    </row>
    <row r="16" spans="1:13" x14ac:dyDescent="0.25">
      <c r="A16" s="39"/>
      <c r="B16" s="100"/>
      <c r="C16" s="39"/>
      <c r="D16" s="39"/>
      <c r="E16" s="39" t="s">
        <v>80</v>
      </c>
      <c r="F16" s="48">
        <v>130285</v>
      </c>
      <c r="G16" s="49"/>
      <c r="H16" s="118">
        <v>270000</v>
      </c>
      <c r="I16" s="48"/>
      <c r="J16" s="49">
        <f t="shared" si="0"/>
        <v>-139715</v>
      </c>
      <c r="L16" s="98" t="s">
        <v>169</v>
      </c>
      <c r="M16" s="38" t="s">
        <v>198</v>
      </c>
    </row>
    <row r="17" spans="1:13" x14ac:dyDescent="0.25">
      <c r="A17" s="39"/>
      <c r="B17" s="100"/>
      <c r="C17" s="39"/>
      <c r="D17" s="39"/>
      <c r="E17" s="39" t="s">
        <v>79</v>
      </c>
      <c r="F17" s="48">
        <v>121773</v>
      </c>
      <c r="G17" s="49"/>
      <c r="H17" s="48">
        <v>75000</v>
      </c>
      <c r="I17" s="48"/>
      <c r="J17" s="49">
        <f t="shared" si="0"/>
        <v>46773</v>
      </c>
      <c r="M17" s="38" t="s">
        <v>199</v>
      </c>
    </row>
    <row r="18" spans="1:13" x14ac:dyDescent="0.25">
      <c r="A18" s="39"/>
      <c r="B18" s="100"/>
      <c r="C18" s="39"/>
      <c r="D18" s="39"/>
      <c r="E18" s="39" t="s">
        <v>78</v>
      </c>
      <c r="F18" s="48">
        <v>45000</v>
      </c>
      <c r="G18" s="49"/>
      <c r="H18" s="48">
        <v>60500</v>
      </c>
      <c r="I18" s="48"/>
      <c r="J18" s="49">
        <f t="shared" si="0"/>
        <v>-15500</v>
      </c>
      <c r="L18" s="98" t="s">
        <v>168</v>
      </c>
      <c r="M18" s="38" t="s">
        <v>200</v>
      </c>
    </row>
    <row r="19" spans="1:13" x14ac:dyDescent="0.25">
      <c r="A19" s="39"/>
      <c r="B19" s="100"/>
      <c r="C19" s="39"/>
      <c r="D19" s="39"/>
      <c r="E19" s="39" t="s">
        <v>77</v>
      </c>
      <c r="F19" s="52">
        <f>3200+18000</f>
        <v>21200</v>
      </c>
      <c r="G19" s="53"/>
      <c r="H19" s="52">
        <v>50000</v>
      </c>
      <c r="I19" s="52"/>
      <c r="J19" s="53">
        <f t="shared" si="0"/>
        <v>-28800</v>
      </c>
      <c r="M19" s="38" t="s">
        <v>201</v>
      </c>
    </row>
    <row r="20" spans="1:13" x14ac:dyDescent="0.25">
      <c r="A20" s="39"/>
      <c r="B20" s="100"/>
      <c r="C20" s="39"/>
      <c r="D20" s="39"/>
      <c r="E20" s="39" t="s">
        <v>211</v>
      </c>
      <c r="F20" s="119">
        <v>0</v>
      </c>
      <c r="G20" s="120"/>
      <c r="H20" s="119">
        <v>228500</v>
      </c>
      <c r="I20" s="119"/>
      <c r="J20" s="120">
        <f t="shared" si="0"/>
        <v>-228500</v>
      </c>
      <c r="M20" s="38" t="s">
        <v>212</v>
      </c>
    </row>
    <row r="21" spans="1:13" x14ac:dyDescent="0.25">
      <c r="A21" s="39"/>
      <c r="B21" s="100"/>
      <c r="C21" s="39"/>
      <c r="D21" s="39" t="s">
        <v>76</v>
      </c>
      <c r="E21" s="39"/>
      <c r="F21" s="48">
        <f>ROUND(SUM(F7:F19),5)</f>
        <v>4262184</v>
      </c>
      <c r="G21" s="49"/>
      <c r="H21" s="48">
        <f>ROUND(SUM(H7:H20),5)</f>
        <v>5897587</v>
      </c>
      <c r="I21" s="48"/>
      <c r="J21" s="49">
        <f>ROUND(SUM(J7:J20),5)</f>
        <v>-1635403</v>
      </c>
    </row>
    <row r="22" spans="1:13" x14ac:dyDescent="0.25">
      <c r="A22" s="39"/>
      <c r="B22" s="100"/>
      <c r="C22" s="39"/>
      <c r="D22" s="39"/>
      <c r="E22" s="39"/>
      <c r="F22" s="48"/>
      <c r="G22" s="49"/>
      <c r="H22" s="48"/>
      <c r="I22" s="48"/>
      <c r="J22" s="49"/>
    </row>
    <row r="23" spans="1:13" x14ac:dyDescent="0.25">
      <c r="A23" s="39"/>
      <c r="B23" s="100"/>
      <c r="C23" s="39"/>
      <c r="D23" s="39" t="s">
        <v>92</v>
      </c>
      <c r="E23" s="39"/>
      <c r="F23" s="48"/>
      <c r="G23" s="49"/>
      <c r="H23" s="48"/>
      <c r="I23" s="48"/>
      <c r="J23" s="49"/>
    </row>
    <row r="24" spans="1:13" x14ac:dyDescent="0.25">
      <c r="A24" s="39"/>
      <c r="B24" s="100"/>
      <c r="C24" s="39"/>
      <c r="D24" s="39"/>
      <c r="E24" s="39" t="s">
        <v>75</v>
      </c>
      <c r="F24" s="48">
        <v>1957729.6300000001</v>
      </c>
      <c r="G24" s="49"/>
      <c r="H24" s="118">
        <v>2100000</v>
      </c>
      <c r="I24" s="48"/>
      <c r="J24" s="49">
        <f t="shared" ref="J24:J30" si="1">F24-H24</f>
        <v>-142270.36999999988</v>
      </c>
      <c r="L24" s="98" t="s">
        <v>167</v>
      </c>
      <c r="M24" s="38" t="s">
        <v>202</v>
      </c>
    </row>
    <row r="25" spans="1:13" x14ac:dyDescent="0.25">
      <c r="A25" s="39"/>
      <c r="B25" s="100"/>
      <c r="C25" s="39"/>
      <c r="D25" s="39"/>
      <c r="E25" s="39" t="s">
        <v>74</v>
      </c>
      <c r="F25" s="48">
        <v>1004444.8499999999</v>
      </c>
      <c r="G25" s="49"/>
      <c r="H25" s="48">
        <f>H10*0.65</f>
        <v>1156119.9000000001</v>
      </c>
      <c r="I25" s="48"/>
      <c r="J25" s="49">
        <f t="shared" si="1"/>
        <v>-151675.05000000028</v>
      </c>
      <c r="L25" s="98" t="s">
        <v>166</v>
      </c>
    </row>
    <row r="26" spans="1:13" x14ac:dyDescent="0.25">
      <c r="A26" s="39"/>
      <c r="B26" s="100"/>
      <c r="C26" s="39"/>
      <c r="D26" s="39"/>
      <c r="E26" s="39" t="s">
        <v>97</v>
      </c>
      <c r="F26" s="48">
        <v>100000</v>
      </c>
      <c r="G26" s="49"/>
      <c r="H26" s="118">
        <v>75000</v>
      </c>
      <c r="I26" s="48"/>
      <c r="J26" s="49">
        <f t="shared" si="1"/>
        <v>25000</v>
      </c>
      <c r="L26" s="98" t="s">
        <v>165</v>
      </c>
      <c r="M26" s="38" t="s">
        <v>203</v>
      </c>
    </row>
    <row r="27" spans="1:13" x14ac:dyDescent="0.25">
      <c r="A27" s="39"/>
      <c r="B27" s="100"/>
      <c r="C27" s="39"/>
      <c r="D27" s="39"/>
      <c r="E27" s="39" t="s">
        <v>73</v>
      </c>
      <c r="F27" s="48">
        <v>4500</v>
      </c>
      <c r="G27" s="49"/>
      <c r="H27" s="118">
        <v>16000</v>
      </c>
      <c r="I27" s="48"/>
      <c r="J27" s="49">
        <f t="shared" si="1"/>
        <v>-11500</v>
      </c>
      <c r="L27" s="98" t="s">
        <v>164</v>
      </c>
    </row>
    <row r="28" spans="1:13" x14ac:dyDescent="0.25">
      <c r="A28" s="39"/>
      <c r="B28" s="100"/>
      <c r="C28" s="39"/>
      <c r="D28" s="39"/>
      <c r="E28" s="39" t="s">
        <v>72</v>
      </c>
      <c r="F28" s="48">
        <v>8683.5</v>
      </c>
      <c r="G28" s="49"/>
      <c r="H28" s="48">
        <v>8683.5</v>
      </c>
      <c r="I28" s="48"/>
      <c r="J28" s="49">
        <f t="shared" si="1"/>
        <v>0</v>
      </c>
    </row>
    <row r="29" spans="1:13" x14ac:dyDescent="0.25">
      <c r="A29" s="39"/>
      <c r="B29" s="100"/>
      <c r="C29" s="39"/>
      <c r="D29" s="39"/>
      <c r="E29" s="39" t="s">
        <v>91</v>
      </c>
      <c r="F29" s="48">
        <v>28200</v>
      </c>
      <c r="G29" s="49"/>
      <c r="H29" s="118">
        <v>5000</v>
      </c>
      <c r="I29" s="48"/>
      <c r="J29" s="49">
        <f t="shared" si="1"/>
        <v>23200</v>
      </c>
    </row>
    <row r="30" spans="1:13" ht="16.5" thickBot="1" x14ac:dyDescent="0.3">
      <c r="A30" s="39"/>
      <c r="B30" s="100"/>
      <c r="C30" s="39"/>
      <c r="D30" s="39"/>
      <c r="E30" s="39" t="s">
        <v>71</v>
      </c>
      <c r="F30" s="48">
        <v>3650.04</v>
      </c>
      <c r="G30" s="49"/>
      <c r="H30" s="48">
        <v>3650.04</v>
      </c>
      <c r="I30" s="48"/>
      <c r="J30" s="49">
        <f t="shared" si="1"/>
        <v>0</v>
      </c>
    </row>
    <row r="31" spans="1:13" ht="16.5" thickBot="1" x14ac:dyDescent="0.3">
      <c r="A31" s="39"/>
      <c r="B31" s="100"/>
      <c r="C31" s="39"/>
      <c r="D31" s="39" t="s">
        <v>93</v>
      </c>
      <c r="E31" s="39"/>
      <c r="F31" s="54">
        <f>ROUND(SUM(F23:F30),5)</f>
        <v>3107208.02</v>
      </c>
      <c r="G31" s="55"/>
      <c r="H31" s="54">
        <f>ROUND(SUM(H23:H30),5)</f>
        <v>3364453.44</v>
      </c>
      <c r="I31" s="54"/>
      <c r="J31" s="55">
        <f>SUM(J24:J30)</f>
        <v>-257245.42000000016</v>
      </c>
    </row>
    <row r="32" spans="1:13" x14ac:dyDescent="0.25">
      <c r="A32" s="39"/>
      <c r="B32" s="100"/>
      <c r="C32" s="39" t="s">
        <v>70</v>
      </c>
      <c r="D32" s="39"/>
      <c r="E32" s="39"/>
      <c r="F32" s="48">
        <f>ROUND(F21-F31,5)</f>
        <v>1154975.98</v>
      </c>
      <c r="G32" s="49"/>
      <c r="H32" s="48">
        <f>ROUND(H21-H31,5)</f>
        <v>2533133.56</v>
      </c>
      <c r="I32" s="48"/>
      <c r="J32" s="49">
        <f>J21+J31</f>
        <v>-1892648.4200000002</v>
      </c>
    </row>
    <row r="33" spans="1:13" x14ac:dyDescent="0.25">
      <c r="A33" s="39"/>
      <c r="B33" s="100"/>
      <c r="C33" s="39"/>
      <c r="D33" s="39"/>
      <c r="E33" s="39"/>
      <c r="F33" s="48"/>
      <c r="G33" s="49"/>
      <c r="H33" s="48"/>
      <c r="I33" s="48"/>
      <c r="J33" s="49"/>
    </row>
    <row r="34" spans="1:13" x14ac:dyDescent="0.25">
      <c r="A34" s="39"/>
      <c r="B34" s="100"/>
      <c r="C34" s="39"/>
      <c r="D34" s="39" t="s">
        <v>69</v>
      </c>
      <c r="E34" s="39"/>
      <c r="F34" s="48"/>
      <c r="G34" s="49"/>
      <c r="H34" s="48"/>
      <c r="I34" s="48"/>
      <c r="J34" s="49"/>
    </row>
    <row r="35" spans="1:13" x14ac:dyDescent="0.25">
      <c r="A35" s="39"/>
      <c r="B35" s="100"/>
      <c r="C35" s="39"/>
      <c r="D35" s="39"/>
      <c r="E35" s="39" t="s">
        <v>68</v>
      </c>
      <c r="F35" s="48">
        <f>7567+2634+730</f>
        <v>10931</v>
      </c>
      <c r="G35" s="49"/>
      <c r="H35" s="118">
        <v>35000</v>
      </c>
      <c r="I35" s="48"/>
      <c r="J35" s="49">
        <f t="shared" ref="J35:J54" si="2">F35-H35</f>
        <v>-24069</v>
      </c>
      <c r="M35" s="38" t="s">
        <v>204</v>
      </c>
    </row>
    <row r="36" spans="1:13" x14ac:dyDescent="0.25">
      <c r="A36" s="39"/>
      <c r="B36" s="100"/>
      <c r="C36" s="39"/>
      <c r="D36" s="39"/>
      <c r="E36" s="39" t="s">
        <v>144</v>
      </c>
      <c r="F36" s="48">
        <v>2000</v>
      </c>
      <c r="G36" s="49"/>
      <c r="H36" s="48">
        <v>2000</v>
      </c>
      <c r="I36" s="56"/>
      <c r="J36" s="49">
        <f t="shared" si="2"/>
        <v>0</v>
      </c>
    </row>
    <row r="37" spans="1:13" x14ac:dyDescent="0.25">
      <c r="A37" s="39"/>
      <c r="B37" s="100"/>
      <c r="C37" s="39"/>
      <c r="D37" s="39"/>
      <c r="E37" s="39" t="s">
        <v>67</v>
      </c>
      <c r="F37" s="48">
        <v>64000</v>
      </c>
      <c r="G37" s="49"/>
      <c r="H37" s="118">
        <v>68000</v>
      </c>
      <c r="I37" s="48"/>
      <c r="J37" s="49">
        <f t="shared" si="2"/>
        <v>-4000</v>
      </c>
      <c r="L37" s="98" t="s">
        <v>163</v>
      </c>
      <c r="M37" s="38" t="s">
        <v>206</v>
      </c>
    </row>
    <row r="38" spans="1:13" x14ac:dyDescent="0.25">
      <c r="A38" s="39"/>
      <c r="B38" s="100"/>
      <c r="C38" s="39"/>
      <c r="D38" s="39"/>
      <c r="E38" s="39" t="s">
        <v>90</v>
      </c>
      <c r="F38" s="48">
        <v>2000</v>
      </c>
      <c r="G38" s="49"/>
      <c r="H38" s="118">
        <v>0</v>
      </c>
      <c r="I38" s="48"/>
      <c r="J38" s="49">
        <f t="shared" si="2"/>
        <v>2000</v>
      </c>
      <c r="M38" s="38" t="s">
        <v>210</v>
      </c>
    </row>
    <row r="39" spans="1:13" x14ac:dyDescent="0.25">
      <c r="A39" s="39"/>
      <c r="B39" s="100"/>
      <c r="C39" s="39"/>
      <c r="D39" s="39"/>
      <c r="E39" s="39" t="s">
        <v>66</v>
      </c>
      <c r="F39" s="48">
        <v>5400</v>
      </c>
      <c r="G39" s="49"/>
      <c r="H39" s="118">
        <v>2400</v>
      </c>
      <c r="I39" s="48"/>
      <c r="J39" s="49">
        <f t="shared" si="2"/>
        <v>3000</v>
      </c>
      <c r="M39" s="38" t="s">
        <v>205</v>
      </c>
    </row>
    <row r="40" spans="1:13" x14ac:dyDescent="0.25">
      <c r="A40" s="39"/>
      <c r="B40" s="100"/>
      <c r="C40" s="39"/>
      <c r="D40" s="39"/>
      <c r="E40" s="39" t="s">
        <v>65</v>
      </c>
      <c r="F40" s="48">
        <v>3125</v>
      </c>
      <c r="G40" s="49"/>
      <c r="H40" s="48">
        <v>3125</v>
      </c>
      <c r="I40" s="48"/>
      <c r="J40" s="49">
        <f t="shared" si="2"/>
        <v>0</v>
      </c>
    </row>
    <row r="41" spans="1:13" x14ac:dyDescent="0.25">
      <c r="A41" s="39"/>
      <c r="B41" s="100"/>
      <c r="C41" s="39"/>
      <c r="D41" s="39"/>
      <c r="E41" s="39" t="s">
        <v>64</v>
      </c>
      <c r="F41" s="48">
        <f>11898+19634+11561+31664+12000+29000</f>
        <v>115757</v>
      </c>
      <c r="G41" s="49"/>
      <c r="H41" s="48">
        <f>11898+19634+11561+31664+12000+29000</f>
        <v>115757</v>
      </c>
      <c r="I41" s="48"/>
      <c r="J41" s="49">
        <f t="shared" si="2"/>
        <v>0</v>
      </c>
    </row>
    <row r="42" spans="1:13" x14ac:dyDescent="0.25">
      <c r="A42" s="39"/>
      <c r="B42" s="100"/>
      <c r="C42" s="39"/>
      <c r="D42" s="39"/>
      <c r="E42" s="39" t="s">
        <v>63</v>
      </c>
      <c r="F42" s="48">
        <f>20508+62456</f>
        <v>82964</v>
      </c>
      <c r="G42" s="49"/>
      <c r="H42" s="48">
        <f>20508+62456</f>
        <v>82964</v>
      </c>
      <c r="I42" s="48"/>
      <c r="J42" s="49">
        <f t="shared" si="2"/>
        <v>0</v>
      </c>
    </row>
    <row r="43" spans="1:13" x14ac:dyDescent="0.25">
      <c r="A43" s="39"/>
      <c r="B43" s="100"/>
      <c r="C43" s="39"/>
      <c r="D43" s="39"/>
      <c r="E43" s="39" t="s">
        <v>62</v>
      </c>
      <c r="F43" s="48">
        <v>204</v>
      </c>
      <c r="G43" s="49"/>
      <c r="H43" s="48">
        <v>204</v>
      </c>
      <c r="I43" s="48"/>
      <c r="J43" s="49">
        <f t="shared" si="2"/>
        <v>0</v>
      </c>
    </row>
    <row r="44" spans="1:13" x14ac:dyDescent="0.25">
      <c r="A44" s="39"/>
      <c r="B44" s="100"/>
      <c r="C44" s="39"/>
      <c r="D44" s="39"/>
      <c r="E44" s="39" t="s">
        <v>61</v>
      </c>
      <c r="F44" s="48">
        <v>2000</v>
      </c>
      <c r="G44" s="49"/>
      <c r="H44" s="48">
        <v>2000</v>
      </c>
      <c r="I44" s="56"/>
      <c r="J44" s="49">
        <f t="shared" si="2"/>
        <v>0</v>
      </c>
    </row>
    <row r="45" spans="1:13" x14ac:dyDescent="0.25">
      <c r="A45" s="39"/>
      <c r="B45" s="100"/>
      <c r="C45" s="39"/>
      <c r="D45" s="39"/>
      <c r="E45" s="39" t="s">
        <v>60</v>
      </c>
      <c r="F45" s="48">
        <f>853190+40076</f>
        <v>893266</v>
      </c>
      <c r="G45" s="49"/>
      <c r="H45" s="48">
        <f>'[1]Projected Payroll'!I53</f>
        <v>899244.2</v>
      </c>
      <c r="I45" s="48"/>
      <c r="J45" s="49">
        <f t="shared" si="2"/>
        <v>-5978.1999999999534</v>
      </c>
      <c r="L45" s="98" t="s">
        <v>162</v>
      </c>
      <c r="M45" s="98" t="s">
        <v>162</v>
      </c>
    </row>
    <row r="46" spans="1:13" x14ac:dyDescent="0.25">
      <c r="A46" s="39"/>
      <c r="B46" s="100"/>
      <c r="C46" s="39"/>
      <c r="D46" s="39"/>
      <c r="E46" s="39" t="s">
        <v>59</v>
      </c>
      <c r="F46" s="48">
        <f>75591+83724+16780</f>
        <v>176095</v>
      </c>
      <c r="G46" s="49"/>
      <c r="H46" s="48">
        <f>75591+83724+16780</f>
        <v>176095</v>
      </c>
      <c r="I46" s="48"/>
      <c r="J46" s="49">
        <f t="shared" si="2"/>
        <v>0</v>
      </c>
    </row>
    <row r="47" spans="1:13" x14ac:dyDescent="0.25">
      <c r="A47" s="39"/>
      <c r="B47" s="100"/>
      <c r="C47" s="39"/>
      <c r="D47" s="39"/>
      <c r="E47" s="39" t="s">
        <v>58</v>
      </c>
      <c r="F47" s="48">
        <v>25894</v>
      </c>
      <c r="G47" s="49"/>
      <c r="H47" s="48">
        <v>25894</v>
      </c>
      <c r="I47" s="48"/>
      <c r="J47" s="49">
        <f t="shared" si="2"/>
        <v>0</v>
      </c>
    </row>
    <row r="48" spans="1:13" x14ac:dyDescent="0.25">
      <c r="A48" s="39"/>
      <c r="B48" s="100"/>
      <c r="C48" s="39"/>
      <c r="D48" s="39"/>
      <c r="E48" s="39" t="s">
        <v>57</v>
      </c>
      <c r="F48" s="48">
        <v>3500</v>
      </c>
      <c r="G48" s="49"/>
      <c r="H48" s="48">
        <v>3500</v>
      </c>
      <c r="I48" s="48"/>
      <c r="J48" s="49">
        <f t="shared" si="2"/>
        <v>0</v>
      </c>
    </row>
    <row r="49" spans="1:13" x14ac:dyDescent="0.25">
      <c r="A49" s="39"/>
      <c r="B49" s="100"/>
      <c r="C49" s="39"/>
      <c r="D49" s="39"/>
      <c r="E49" s="39" t="s">
        <v>56</v>
      </c>
      <c r="F49" s="48">
        <f>4350+13500</f>
        <v>17850</v>
      </c>
      <c r="G49" s="49"/>
      <c r="H49" s="48">
        <f>4350+13500</f>
        <v>17850</v>
      </c>
      <c r="I49" s="48"/>
      <c r="J49" s="49">
        <f t="shared" si="2"/>
        <v>0</v>
      </c>
    </row>
    <row r="50" spans="1:13" x14ac:dyDescent="0.25">
      <c r="A50" s="39"/>
      <c r="B50" s="100"/>
      <c r="C50" s="39"/>
      <c r="D50" s="39"/>
      <c r="E50" s="39" t="s">
        <v>55</v>
      </c>
      <c r="F50" s="48">
        <v>18000</v>
      </c>
      <c r="G50" s="49"/>
      <c r="H50" s="118">
        <v>33000</v>
      </c>
      <c r="I50" s="48"/>
      <c r="J50" s="49">
        <f t="shared" si="2"/>
        <v>-15000</v>
      </c>
      <c r="M50" s="38" t="s">
        <v>207</v>
      </c>
    </row>
    <row r="51" spans="1:13" x14ac:dyDescent="0.25">
      <c r="A51" s="39"/>
      <c r="B51" s="100"/>
      <c r="C51" s="39"/>
      <c r="D51" s="39"/>
      <c r="E51" s="39" t="s">
        <v>54</v>
      </c>
      <c r="F51" s="48">
        <v>2500</v>
      </c>
      <c r="G51" s="49"/>
      <c r="H51" s="118">
        <v>4000</v>
      </c>
      <c r="I51" s="48"/>
      <c r="J51" s="49">
        <f t="shared" si="2"/>
        <v>-1500</v>
      </c>
      <c r="M51" s="38" t="s">
        <v>208</v>
      </c>
    </row>
    <row r="52" spans="1:13" x14ac:dyDescent="0.25">
      <c r="A52" s="39"/>
      <c r="B52" s="100"/>
      <c r="C52" s="39"/>
      <c r="D52" s="39"/>
      <c r="E52" s="39" t="s">
        <v>53</v>
      </c>
      <c r="F52" s="48">
        <f>15000+2600+21900</f>
        <v>39500</v>
      </c>
      <c r="G52" s="49"/>
      <c r="H52" s="48">
        <f>15000+2600+21900</f>
        <v>39500</v>
      </c>
      <c r="I52" s="48"/>
      <c r="J52" s="49">
        <f t="shared" si="2"/>
        <v>0</v>
      </c>
    </row>
    <row r="53" spans="1:13" x14ac:dyDescent="0.25">
      <c r="A53" s="39"/>
      <c r="B53" s="100"/>
      <c r="C53" s="39"/>
      <c r="D53" s="39"/>
      <c r="E53" s="39" t="s">
        <v>52</v>
      </c>
      <c r="F53" s="48">
        <f>21900+1950+11500</f>
        <v>35350</v>
      </c>
      <c r="G53" s="49"/>
      <c r="H53" s="118">
        <v>43244</v>
      </c>
      <c r="I53" s="48"/>
      <c r="J53" s="49">
        <f t="shared" si="2"/>
        <v>-7894</v>
      </c>
      <c r="M53" s="38" t="s">
        <v>209</v>
      </c>
    </row>
    <row r="54" spans="1:13" ht="16.5" thickBot="1" x14ac:dyDescent="0.3">
      <c r="A54" s="39"/>
      <c r="B54" s="100"/>
      <c r="C54" s="39"/>
      <c r="D54" s="39"/>
      <c r="E54" s="39" t="s">
        <v>51</v>
      </c>
      <c r="F54" s="48">
        <v>4500</v>
      </c>
      <c r="G54" s="49"/>
      <c r="H54" s="48">
        <v>4500</v>
      </c>
      <c r="I54" s="48"/>
      <c r="J54" s="49">
        <f t="shared" si="2"/>
        <v>0</v>
      </c>
    </row>
    <row r="55" spans="1:13" x14ac:dyDescent="0.25">
      <c r="A55" s="39"/>
      <c r="B55" s="100"/>
      <c r="C55" s="39"/>
      <c r="D55" s="39" t="s">
        <v>50</v>
      </c>
      <c r="E55" s="39"/>
      <c r="F55" s="57">
        <f>ROUND(SUM(F34:F54),5)</f>
        <v>1504836</v>
      </c>
      <c r="G55" s="58"/>
      <c r="H55" s="57">
        <f>ROUND(SUM(H34:H54),5)</f>
        <v>1558277.2</v>
      </c>
      <c r="I55" s="57"/>
      <c r="J55" s="58">
        <f>SUM(J35:J54)</f>
        <v>-53441.199999999953</v>
      </c>
    </row>
    <row r="56" spans="1:13" ht="16.5" thickBot="1" x14ac:dyDescent="0.3">
      <c r="A56" s="104"/>
      <c r="B56" s="74" t="s">
        <v>49</v>
      </c>
      <c r="C56" s="39"/>
      <c r="D56" s="39"/>
      <c r="E56" s="39"/>
      <c r="F56" s="103">
        <f>ROUND(F6+F32-F55,5)</f>
        <v>-349860.02</v>
      </c>
      <c r="G56" s="102"/>
      <c r="H56" s="103">
        <f>ROUND(H6+H32-H55,5)</f>
        <v>974856.36</v>
      </c>
      <c r="I56" s="103"/>
      <c r="J56" s="102">
        <f>J32-J55</f>
        <v>-1839207.2200000002</v>
      </c>
    </row>
    <row r="57" spans="1:13" ht="10.5" customHeight="1" thickTop="1" x14ac:dyDescent="0.25">
      <c r="A57" s="101"/>
      <c r="B57" s="100"/>
      <c r="C57" s="39"/>
      <c r="D57" s="39"/>
      <c r="E57" s="39"/>
      <c r="F57" s="48"/>
      <c r="G57" s="49"/>
      <c r="H57" s="48"/>
      <c r="I57" s="48"/>
      <c r="J57" s="49"/>
    </row>
    <row r="60" spans="1:13" ht="17.25" customHeight="1" x14ac:dyDescent="0.25"/>
  </sheetData>
  <mergeCells count="3">
    <mergeCell ref="A1:J1"/>
    <mergeCell ref="A2:J2"/>
    <mergeCell ref="A3:J3"/>
  </mergeCells>
  <printOptions horizontalCentered="1"/>
  <pageMargins left="0.45" right="0.45" top="0.25" bottom="0.25" header="0.1" footer="0.3"/>
  <pageSetup scale="76" orientation="portrait" r:id="rId1"/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304800</xdr:colOff>
                <xdr:row>1</xdr:row>
                <xdr:rowOff>28575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304800</xdr:colOff>
                <xdr:row>1</xdr:row>
                <xdr:rowOff>28575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showGridLines="0" topLeftCell="A23" workbookViewId="0">
      <selection activeCell="C28" sqref="C28"/>
    </sheetView>
  </sheetViews>
  <sheetFormatPr defaultRowHeight="15" x14ac:dyDescent="0.25"/>
  <cols>
    <col min="1" max="1" width="3.7109375" customWidth="1"/>
    <col min="2" max="2" width="46.28515625" customWidth="1"/>
    <col min="3" max="5" width="21.7109375" customWidth="1"/>
    <col min="6" max="6" width="19.7109375" customWidth="1"/>
    <col min="7" max="7" width="3.7109375" customWidth="1"/>
    <col min="8" max="8" width="49.7109375" style="97" customWidth="1"/>
  </cols>
  <sheetData>
    <row r="1" spans="1:8" ht="18.75" x14ac:dyDescent="0.3">
      <c r="A1" s="117" t="s">
        <v>101</v>
      </c>
      <c r="B1" s="117"/>
      <c r="C1" s="117"/>
      <c r="D1" s="117"/>
      <c r="E1" s="117"/>
      <c r="F1" s="117"/>
    </row>
    <row r="2" spans="1:8" ht="18.75" x14ac:dyDescent="0.3">
      <c r="A2" s="117" t="s">
        <v>102</v>
      </c>
      <c r="B2" s="117"/>
      <c r="C2" s="117"/>
      <c r="D2" s="117"/>
      <c r="E2" s="117"/>
      <c r="F2" s="117"/>
    </row>
    <row r="3" spans="1:8" ht="18.75" x14ac:dyDescent="0.3">
      <c r="A3" s="117" t="s">
        <v>190</v>
      </c>
      <c r="B3" s="117"/>
      <c r="C3" s="117"/>
      <c r="D3" s="117"/>
      <c r="E3" s="117"/>
      <c r="F3" s="117"/>
    </row>
    <row r="4" spans="1:8" ht="19.5" thickBot="1" x14ac:dyDescent="0.35">
      <c r="A4" s="89"/>
      <c r="B4" s="89"/>
      <c r="C4" s="89"/>
      <c r="D4" s="89"/>
      <c r="E4" s="89"/>
      <c r="F4" s="89"/>
    </row>
    <row r="5" spans="1:8" ht="16.5" thickBot="1" x14ac:dyDescent="0.3">
      <c r="C5" s="116" t="s">
        <v>103</v>
      </c>
      <c r="D5" s="116"/>
      <c r="E5" s="116"/>
      <c r="F5" s="116"/>
      <c r="H5" s="106" t="s">
        <v>148</v>
      </c>
    </row>
    <row r="6" spans="1:8" x14ac:dyDescent="0.25">
      <c r="C6" s="75" t="s">
        <v>137</v>
      </c>
      <c r="D6" s="75" t="s">
        <v>104</v>
      </c>
      <c r="E6" s="75" t="s">
        <v>136</v>
      </c>
      <c r="F6" s="75" t="s">
        <v>105</v>
      </c>
    </row>
    <row r="7" spans="1:8" x14ac:dyDescent="0.25">
      <c r="A7" s="76" t="s">
        <v>106</v>
      </c>
    </row>
    <row r="8" spans="1:8" x14ac:dyDescent="0.25">
      <c r="B8" t="s">
        <v>107</v>
      </c>
      <c r="C8" s="77">
        <f>'P&amp;L'!F13</f>
        <v>469109</v>
      </c>
      <c r="D8" s="77"/>
      <c r="E8" s="77"/>
      <c r="F8" s="77">
        <f>SUM(C8:E8)</f>
        <v>469109</v>
      </c>
      <c r="G8" s="77"/>
    </row>
    <row r="9" spans="1:8" x14ac:dyDescent="0.25">
      <c r="B9" t="s">
        <v>108</v>
      </c>
      <c r="C9" s="77">
        <f>'P&amp;L'!F16</f>
        <v>167969</v>
      </c>
      <c r="D9" s="77"/>
      <c r="E9" s="77"/>
      <c r="F9" s="77">
        <f t="shared" ref="F9:F19" si="0">SUM(C9:E9)</f>
        <v>167969</v>
      </c>
      <c r="G9" s="77"/>
    </row>
    <row r="10" spans="1:8" x14ac:dyDescent="0.25">
      <c r="B10" t="s">
        <v>109</v>
      </c>
      <c r="C10" s="77">
        <f>'P&amp;L'!F19+'P&amp;L'!F18</f>
        <v>104211</v>
      </c>
      <c r="D10" s="77"/>
      <c r="E10" s="77"/>
      <c r="F10" s="77">
        <f t="shared" si="0"/>
        <v>104211</v>
      </c>
      <c r="G10" s="77"/>
    </row>
    <row r="11" spans="1:8" x14ac:dyDescent="0.25">
      <c r="B11" t="s">
        <v>110</v>
      </c>
      <c r="C11" s="77">
        <f>'P&amp;L'!F14+'P&amp;L'!F15+'P&amp;L'!F17-'Cash Flow &amp; P&amp;L by Function'!D13</f>
        <v>-133042</v>
      </c>
      <c r="D11" s="77"/>
      <c r="E11" s="77"/>
      <c r="F11" s="77">
        <f t="shared" si="0"/>
        <v>-133042</v>
      </c>
      <c r="G11" s="77"/>
    </row>
    <row r="12" spans="1:8" x14ac:dyDescent="0.25">
      <c r="B12" t="s">
        <v>111</v>
      </c>
      <c r="C12" s="77">
        <f>-(SUM(F8:F11)+SUM(F13:F19))+'P&amp;L'!F64</f>
        <v>-1130445.78</v>
      </c>
      <c r="D12" s="77"/>
      <c r="E12" s="77"/>
      <c r="F12" s="77">
        <f t="shared" si="0"/>
        <v>-1130445.78</v>
      </c>
      <c r="G12" s="79"/>
    </row>
    <row r="13" spans="1:8" x14ac:dyDescent="0.25">
      <c r="B13" t="s">
        <v>112</v>
      </c>
      <c r="D13" s="105">
        <v>1017738</v>
      </c>
      <c r="E13" s="77"/>
      <c r="F13" s="77">
        <f t="shared" si="0"/>
        <v>1017738</v>
      </c>
      <c r="G13" s="77"/>
    </row>
    <row r="14" spans="1:8" x14ac:dyDescent="0.25">
      <c r="B14" t="s">
        <v>113</v>
      </c>
      <c r="C14" s="77"/>
      <c r="D14" s="77">
        <f>'P&amp;L'!F9</f>
        <v>477691.6</v>
      </c>
      <c r="E14" s="77"/>
      <c r="F14" s="77">
        <f t="shared" si="0"/>
        <v>477691.6</v>
      </c>
      <c r="G14" s="77"/>
    </row>
    <row r="15" spans="1:8" x14ac:dyDescent="0.25">
      <c r="B15" t="s">
        <v>189</v>
      </c>
      <c r="C15" s="77"/>
      <c r="D15" s="105">
        <v>187498</v>
      </c>
      <c r="E15" s="77"/>
      <c r="F15" s="77">
        <f t="shared" si="0"/>
        <v>187498</v>
      </c>
      <c r="G15" s="77"/>
    </row>
    <row r="16" spans="1:8" x14ac:dyDescent="0.25">
      <c r="B16" t="s">
        <v>141</v>
      </c>
      <c r="C16" s="77"/>
      <c r="D16" s="77">
        <f>'P&amp;L'!F8</f>
        <v>181500</v>
      </c>
      <c r="E16" s="77"/>
      <c r="F16" s="77">
        <f t="shared" si="0"/>
        <v>181500</v>
      </c>
      <c r="G16" s="77"/>
    </row>
    <row r="17" spans="1:13" x14ac:dyDescent="0.25">
      <c r="B17" t="s">
        <v>75</v>
      </c>
      <c r="C17" s="77"/>
      <c r="D17" s="77">
        <f>-'P&amp;L'!F23</f>
        <v>-1585480</v>
      </c>
      <c r="E17" s="77"/>
      <c r="F17" s="77">
        <f t="shared" si="0"/>
        <v>-1585480</v>
      </c>
      <c r="G17" s="77"/>
    </row>
    <row r="18" spans="1:13" x14ac:dyDescent="0.25">
      <c r="B18" t="s">
        <v>114</v>
      </c>
      <c r="C18" s="77"/>
      <c r="D18" s="77"/>
      <c r="E18" s="105">
        <v>1146796</v>
      </c>
      <c r="F18" s="77">
        <f t="shared" si="0"/>
        <v>1146796</v>
      </c>
      <c r="G18" s="77"/>
    </row>
    <row r="19" spans="1:13" x14ac:dyDescent="0.25">
      <c r="B19" t="s">
        <v>115</v>
      </c>
      <c r="C19" s="77"/>
      <c r="D19" s="77"/>
      <c r="E19" s="77">
        <f>-'P&amp;L'!F24</f>
        <v>-899919</v>
      </c>
      <c r="F19" s="77">
        <f t="shared" si="0"/>
        <v>-899919</v>
      </c>
      <c r="G19" s="77"/>
    </row>
    <row r="20" spans="1:13" ht="15.75" thickBot="1" x14ac:dyDescent="0.3">
      <c r="C20" s="78">
        <f>SUM(C8:C19)</f>
        <v>-522198.78</v>
      </c>
      <c r="D20" s="78">
        <f>SUM(D8:D19)</f>
        <v>278947.60000000009</v>
      </c>
      <c r="E20" s="78">
        <f>SUM(E8:E19)</f>
        <v>246877</v>
      </c>
      <c r="F20" s="78">
        <f>SUM(F8:F19)</f>
        <v>3625.8199999998324</v>
      </c>
      <c r="H20" s="97" t="s">
        <v>151</v>
      </c>
      <c r="K20" s="81"/>
      <c r="L20" s="81"/>
      <c r="M20" s="86"/>
    </row>
    <row r="21" spans="1:13" ht="15.75" thickTop="1" x14ac:dyDescent="0.25">
      <c r="E21" s="80"/>
      <c r="F21" s="81"/>
      <c r="M21" s="86"/>
    </row>
    <row r="22" spans="1:13" x14ac:dyDescent="0.25">
      <c r="A22" s="76" t="s">
        <v>116</v>
      </c>
      <c r="E22" s="82"/>
      <c r="F22" s="81"/>
    </row>
    <row r="23" spans="1:13" x14ac:dyDescent="0.25">
      <c r="A23" s="83" t="s">
        <v>117</v>
      </c>
      <c r="D23" s="84"/>
      <c r="F23" s="81"/>
    </row>
    <row r="24" spans="1:13" x14ac:dyDescent="0.25">
      <c r="A24" s="83"/>
      <c r="B24" t="s">
        <v>118</v>
      </c>
      <c r="C24" s="81">
        <f>C8</f>
        <v>469109</v>
      </c>
      <c r="D24" s="81"/>
      <c r="E24" s="81"/>
      <c r="F24" s="81">
        <f t="shared" ref="F24:F40" si="1">SUM(C24:E24)</f>
        <v>469109</v>
      </c>
    </row>
    <row r="25" spans="1:13" x14ac:dyDescent="0.25">
      <c r="A25" s="83"/>
      <c r="B25" t="s">
        <v>119</v>
      </c>
      <c r="C25" s="112">
        <v>167967</v>
      </c>
      <c r="D25" s="85"/>
      <c r="E25" s="81"/>
      <c r="F25" s="81">
        <f t="shared" si="1"/>
        <v>167967</v>
      </c>
    </row>
    <row r="26" spans="1:13" x14ac:dyDescent="0.25">
      <c r="A26" s="83"/>
      <c r="B26" t="s">
        <v>120</v>
      </c>
      <c r="C26" s="112">
        <v>152672</v>
      </c>
      <c r="D26" s="86"/>
      <c r="E26" s="81"/>
      <c r="F26" s="81">
        <f t="shared" si="1"/>
        <v>152672</v>
      </c>
    </row>
    <row r="27" spans="1:13" x14ac:dyDescent="0.25">
      <c r="A27" s="83"/>
      <c r="B27" t="s">
        <v>121</v>
      </c>
      <c r="C27" s="112">
        <v>575294</v>
      </c>
      <c r="D27" s="81"/>
      <c r="E27" s="81"/>
      <c r="F27" s="81">
        <f t="shared" si="1"/>
        <v>575294</v>
      </c>
    </row>
    <row r="28" spans="1:13" x14ac:dyDescent="0.25">
      <c r="A28" s="83"/>
      <c r="B28" t="s">
        <v>122</v>
      </c>
      <c r="C28" s="113">
        <v>-1013568</v>
      </c>
      <c r="D28" s="81"/>
      <c r="E28" s="81"/>
      <c r="F28" s="81">
        <f t="shared" si="1"/>
        <v>-1013568</v>
      </c>
    </row>
    <row r="29" spans="1:13" x14ac:dyDescent="0.25">
      <c r="A29" s="83"/>
      <c r="B29" t="s">
        <v>145</v>
      </c>
      <c r="C29" s="81"/>
      <c r="D29" s="112">
        <v>442441</v>
      </c>
      <c r="E29" s="81"/>
      <c r="F29" s="81">
        <f t="shared" si="1"/>
        <v>442441</v>
      </c>
    </row>
    <row r="30" spans="1:13" x14ac:dyDescent="0.25">
      <c r="A30" s="83"/>
      <c r="B30" t="s">
        <v>125</v>
      </c>
      <c r="C30" s="81"/>
      <c r="D30" s="105">
        <v>1334294</v>
      </c>
      <c r="E30" s="81"/>
      <c r="F30" s="81">
        <f t="shared" si="1"/>
        <v>1334294</v>
      </c>
    </row>
    <row r="31" spans="1:13" x14ac:dyDescent="0.25">
      <c r="A31" s="83"/>
      <c r="B31" t="s">
        <v>142</v>
      </c>
      <c r="C31" s="81"/>
      <c r="D31" s="77">
        <v>0</v>
      </c>
      <c r="E31" s="81"/>
      <c r="F31" s="81">
        <f t="shared" si="1"/>
        <v>0</v>
      </c>
    </row>
    <row r="32" spans="1:13" x14ac:dyDescent="0.25">
      <c r="A32" s="83"/>
      <c r="B32" t="s">
        <v>123</v>
      </c>
      <c r="C32" s="81"/>
      <c r="D32" s="112">
        <v>477692</v>
      </c>
      <c r="E32" s="81"/>
      <c r="F32" s="81">
        <f t="shared" si="1"/>
        <v>477692</v>
      </c>
    </row>
    <row r="33" spans="1:8" x14ac:dyDescent="0.25">
      <c r="A33" s="83"/>
      <c r="B33" t="s">
        <v>124</v>
      </c>
      <c r="C33" s="81"/>
      <c r="D33" s="112">
        <v>-1585480</v>
      </c>
      <c r="E33" s="81"/>
      <c r="F33" s="81">
        <f t="shared" si="1"/>
        <v>-1585480</v>
      </c>
    </row>
    <row r="34" spans="1:8" x14ac:dyDescent="0.25">
      <c r="A34" s="83" t="s">
        <v>126</v>
      </c>
      <c r="C34" s="81"/>
      <c r="D34" s="81"/>
      <c r="E34" s="81"/>
      <c r="F34" s="81">
        <f t="shared" si="1"/>
        <v>0</v>
      </c>
    </row>
    <row r="35" spans="1:8" x14ac:dyDescent="0.25">
      <c r="A35" s="83"/>
      <c r="B35" t="s">
        <v>127</v>
      </c>
      <c r="C35" s="105">
        <v>-11306</v>
      </c>
      <c r="F35" s="81">
        <f t="shared" si="1"/>
        <v>-11306</v>
      </c>
    </row>
    <row r="36" spans="1:8" x14ac:dyDescent="0.25">
      <c r="A36" s="83" t="s">
        <v>128</v>
      </c>
      <c r="E36" s="81"/>
      <c r="F36" s="81">
        <f t="shared" si="1"/>
        <v>0</v>
      </c>
    </row>
    <row r="37" spans="1:8" x14ac:dyDescent="0.25">
      <c r="B37" t="s">
        <v>129</v>
      </c>
      <c r="C37" s="81">
        <v>0</v>
      </c>
      <c r="F37" s="81">
        <f t="shared" si="1"/>
        <v>0</v>
      </c>
    </row>
    <row r="38" spans="1:8" x14ac:dyDescent="0.25">
      <c r="B38" t="s">
        <v>130</v>
      </c>
      <c r="C38" s="77">
        <f>'Balance Sheet'!H49</f>
        <v>-187172</v>
      </c>
      <c r="F38" s="81">
        <f t="shared" si="1"/>
        <v>-187172</v>
      </c>
    </row>
    <row r="39" spans="1:8" x14ac:dyDescent="0.25">
      <c r="B39" t="s">
        <v>131</v>
      </c>
      <c r="C39" s="77">
        <v>0</v>
      </c>
      <c r="F39" s="81">
        <f t="shared" si="1"/>
        <v>0</v>
      </c>
    </row>
    <row r="40" spans="1:8" x14ac:dyDescent="0.25">
      <c r="B40" t="s">
        <v>132</v>
      </c>
      <c r="C40" s="77">
        <f>-'P&amp;L'!F59</f>
        <v>-7630</v>
      </c>
      <c r="F40" s="81">
        <f t="shared" si="1"/>
        <v>-7630</v>
      </c>
    </row>
    <row r="41" spans="1:8" ht="15.75" thickBot="1" x14ac:dyDescent="0.3">
      <c r="B41" s="87" t="s">
        <v>133</v>
      </c>
      <c r="C41" s="78">
        <f>SUM(C24:C40)</f>
        <v>145366</v>
      </c>
      <c r="D41" s="78">
        <f t="shared" ref="D41:F41" si="2">SUM(D24:D40)</f>
        <v>668947</v>
      </c>
      <c r="E41" s="78">
        <f t="shared" si="2"/>
        <v>0</v>
      </c>
      <c r="F41" s="78">
        <f t="shared" si="2"/>
        <v>814313</v>
      </c>
    </row>
    <row r="42" spans="1:8" ht="15.75" thickTop="1" x14ac:dyDescent="0.25">
      <c r="F42" s="81"/>
    </row>
    <row r="43" spans="1:8" x14ac:dyDescent="0.25">
      <c r="B43" s="34" t="s">
        <v>134</v>
      </c>
      <c r="F43" s="81">
        <v>589633</v>
      </c>
    </row>
    <row r="44" spans="1:8" x14ac:dyDescent="0.25">
      <c r="B44" s="34" t="s">
        <v>135</v>
      </c>
      <c r="F44" s="81">
        <f>'Balance Sheet'!F8</f>
        <v>1403946</v>
      </c>
    </row>
    <row r="45" spans="1:8" ht="15.75" thickBot="1" x14ac:dyDescent="0.3">
      <c r="F45" s="78">
        <f>F44-F43</f>
        <v>814313</v>
      </c>
      <c r="H45" s="97" t="s">
        <v>152</v>
      </c>
    </row>
    <row r="46" spans="1:8" ht="15.75" thickTop="1" x14ac:dyDescent="0.25">
      <c r="F46" s="90"/>
    </row>
    <row r="47" spans="1:8" x14ac:dyDescent="0.25">
      <c r="F47" s="88"/>
    </row>
  </sheetData>
  <mergeCells count="4">
    <mergeCell ref="C5:F5"/>
    <mergeCell ref="A1:F1"/>
    <mergeCell ref="A2:F2"/>
    <mergeCell ref="A3:F3"/>
  </mergeCells>
  <pageMargins left="0.7" right="0.7" top="0.75" bottom="0.75" header="0.3" footer="0.3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Balance Sheet</vt:lpstr>
      <vt:lpstr>P&amp;L</vt:lpstr>
      <vt:lpstr>Forecast to FYE21</vt:lpstr>
      <vt:lpstr>Cash Flow &amp; P&amp;L by Function</vt:lpstr>
      <vt:lpstr>'Balance Sheet'!Print_Titles</vt:lpstr>
      <vt:lpstr>'Forecast to FYE21'!Print_Titles</vt:lpstr>
      <vt:lpstr>'P&amp;L'!Print_Titles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Meegan</dc:creator>
  <cp:lastModifiedBy>Teresa Bianchi</cp:lastModifiedBy>
  <cp:lastPrinted>2021-03-19T18:50:33Z</cp:lastPrinted>
  <dcterms:created xsi:type="dcterms:W3CDTF">2019-08-21T18:42:25Z</dcterms:created>
  <dcterms:modified xsi:type="dcterms:W3CDTF">2021-03-22T16:30:16Z</dcterms:modified>
</cp:coreProperties>
</file>