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overnance\Board of Directors\Board Reports\2021\Board Member Materials - September 2021\"/>
    </mc:Choice>
  </mc:AlternateContent>
  <bookViews>
    <workbookView xWindow="0" yWindow="0" windowWidth="24000" windowHeight="9000" firstSheet="1" activeTab="1"/>
  </bookViews>
  <sheets>
    <sheet name="4 Week Look Out" sheetId="2" state="hidden" r:id="rId1"/>
    <sheet name="Cash Projection to FYE22" sheetId="1" r:id="rId2"/>
    <sheet name="Assumptions" sheetId="3" r:id="rId3"/>
  </sheets>
  <externalReferences>
    <externalReference r:id="rId4"/>
    <externalReference r:id="rId5"/>
    <externalReference r:id="rId6"/>
  </externalReferences>
  <definedNames>
    <definedName name="_GoBack" localSheetId="2">Assumptions!$A$1</definedName>
    <definedName name="_xlnm.Print_Area" localSheetId="0">'4 Week Look Out'!$A$1:$K$73</definedName>
    <definedName name="_xlnm.Print_Area" localSheetId="1">'Cash Projection to FYE22'!$A$1:$AP$75</definedName>
    <definedName name="_xlnm.Print_Titles" localSheetId="0">'4 Week Look Out'!$A:$A,'4 Week Look Out'!$6:$6</definedName>
    <definedName name="_xlnm.Print_Titles" localSheetId="1">'Cash Projection to FYE22'!$A:$A,'Cash Projection to FYE22'!$2:$2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F35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R66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R64" i="1"/>
  <c r="AP33" i="1"/>
  <c r="D12" i="1" l="1"/>
  <c r="E12" i="1"/>
  <c r="E15" i="1" s="1"/>
  <c r="D15" i="1"/>
  <c r="D18" i="1"/>
  <c r="E18" i="1"/>
  <c r="D19" i="1"/>
  <c r="D31" i="1" s="1"/>
  <c r="D33" i="1" s="1"/>
  <c r="E19" i="1"/>
  <c r="D20" i="1"/>
  <c r="E20" i="1"/>
  <c r="E21" i="1"/>
  <c r="E31" i="1" s="1"/>
  <c r="D22" i="1"/>
  <c r="E22" i="1"/>
  <c r="D24" i="1"/>
  <c r="E24" i="1"/>
  <c r="E29" i="1"/>
  <c r="D56" i="1"/>
  <c r="E56" i="1"/>
  <c r="D59" i="1"/>
  <c r="D64" i="1" s="1"/>
  <c r="E59" i="1"/>
  <c r="E63" i="1"/>
  <c r="D74" i="1"/>
  <c r="E74" i="1" s="1"/>
  <c r="D75" i="1"/>
  <c r="E75" i="1"/>
  <c r="R28" i="1"/>
  <c r="AA28" i="1" s="1"/>
  <c r="AJ28" i="1" s="1"/>
  <c r="S28" i="1"/>
  <c r="AB28" i="1" s="1"/>
  <c r="AK28" i="1" s="1"/>
  <c r="T28" i="1"/>
  <c r="U28" i="1"/>
  <c r="AD28" i="1" s="1"/>
  <c r="AM28" i="1" s="1"/>
  <c r="X28" i="1"/>
  <c r="AG28" i="1" s="1"/>
  <c r="AC28" i="1"/>
  <c r="AL28" i="1" s="1"/>
  <c r="G56" i="1"/>
  <c r="H56" i="1"/>
  <c r="E64" i="1" l="1"/>
  <c r="E66" i="1" s="1"/>
  <c r="D66" i="1"/>
  <c r="D35" i="1"/>
  <c r="D71" i="1" s="1"/>
  <c r="E4" i="1" s="1"/>
  <c r="E33" i="1"/>
  <c r="E35" i="1" l="1"/>
  <c r="E71" i="1" s="1"/>
  <c r="R14" i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D9" i="3"/>
  <c r="S26" i="1"/>
  <c r="AE26" i="1" s="1"/>
  <c r="T26" i="1"/>
  <c r="AF26" i="1" s="1"/>
  <c r="U26" i="1"/>
  <c r="V26" i="1"/>
  <c r="AH26" i="1" s="1"/>
  <c r="W26" i="1"/>
  <c r="AI26" i="1" s="1"/>
  <c r="X26" i="1"/>
  <c r="AJ26" i="1" s="1"/>
  <c r="Y26" i="1"/>
  <c r="Z26" i="1"/>
  <c r="AL26" i="1" s="1"/>
  <c r="AA26" i="1"/>
  <c r="AM26" i="1" s="1"/>
  <c r="AB26" i="1"/>
  <c r="AN26" i="1" s="1"/>
  <c r="AC26" i="1"/>
  <c r="AG26" i="1"/>
  <c r="AK26" i="1"/>
  <c r="AO26" i="1"/>
  <c r="V41" i="1" l="1"/>
  <c r="W41" i="1"/>
  <c r="X41" i="1"/>
  <c r="Y41" i="1"/>
  <c r="Z41" i="1"/>
  <c r="AA41" i="1"/>
  <c r="AB41" i="1"/>
  <c r="AC41" i="1"/>
  <c r="AO41" i="1" s="1"/>
  <c r="U41" i="1"/>
  <c r="R41" i="1"/>
  <c r="T53" i="1"/>
  <c r="V53" i="1"/>
  <c r="X53" i="1"/>
  <c r="Z53" i="1"/>
  <c r="AB53" i="1"/>
  <c r="AD53" i="1"/>
  <c r="AF53" i="1"/>
  <c r="AH53" i="1"/>
  <c r="AJ53" i="1"/>
  <c r="AL53" i="1"/>
  <c r="AN53" i="1"/>
  <c r="R5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R63" i="1"/>
  <c r="AE62" i="1"/>
  <c r="AF62" i="1"/>
  <c r="AG62" i="1"/>
  <c r="AH62" i="1"/>
  <c r="AI62" i="1"/>
  <c r="AJ62" i="1"/>
  <c r="AK62" i="1"/>
  <c r="AL62" i="1"/>
  <c r="AM62" i="1"/>
  <c r="AN62" i="1"/>
  <c r="AO62" i="1"/>
  <c r="AD62" i="1"/>
  <c r="S62" i="1"/>
  <c r="T62" i="1"/>
  <c r="U62" i="1"/>
  <c r="V62" i="1"/>
  <c r="W62" i="1"/>
  <c r="X62" i="1"/>
  <c r="Y62" i="1"/>
  <c r="Z62" i="1"/>
  <c r="AA62" i="1"/>
  <c r="AB62" i="1"/>
  <c r="AC62" i="1"/>
  <c r="R62" i="1"/>
  <c r="G62" i="1"/>
  <c r="H62" i="1"/>
  <c r="I62" i="1"/>
  <c r="J62" i="1"/>
  <c r="K62" i="1"/>
  <c r="L62" i="1"/>
  <c r="M62" i="1"/>
  <c r="N62" i="1"/>
  <c r="O62" i="1"/>
  <c r="P62" i="1"/>
  <c r="Q62" i="1"/>
  <c r="F62" i="1"/>
  <c r="K59" i="1"/>
  <c r="W59" i="1" s="1"/>
  <c r="AI59" i="1" s="1"/>
  <c r="L59" i="1"/>
  <c r="L61" i="1" s="1"/>
  <c r="R43" i="1"/>
  <c r="S43" i="1"/>
  <c r="T43" i="1"/>
  <c r="AF43" i="1" s="1"/>
  <c r="U43" i="1"/>
  <c r="AG43" i="1" s="1"/>
  <c r="V43" i="1"/>
  <c r="AH43" i="1" s="1"/>
  <c r="W43" i="1"/>
  <c r="AI43" i="1" s="1"/>
  <c r="AJ43" i="1"/>
  <c r="Y43" i="1"/>
  <c r="AK43" i="1" s="1"/>
  <c r="Z43" i="1"/>
  <c r="AL43" i="1" s="1"/>
  <c r="AA43" i="1"/>
  <c r="AM43" i="1" s="1"/>
  <c r="AB43" i="1"/>
  <c r="AN43" i="1" s="1"/>
  <c r="AC43" i="1"/>
  <c r="AO43" i="1" s="1"/>
  <c r="AD43" i="1"/>
  <c r="V45" i="1"/>
  <c r="R46" i="1"/>
  <c r="S46" i="1"/>
  <c r="T46" i="1"/>
  <c r="U46" i="1"/>
  <c r="V46" i="1"/>
  <c r="AH46" i="1" s="1"/>
  <c r="W46" i="1"/>
  <c r="AI46" i="1" s="1"/>
  <c r="X46" i="1"/>
  <c r="AJ46" i="1" s="1"/>
  <c r="Y46" i="1"/>
  <c r="AK46" i="1" s="1"/>
  <c r="Z46" i="1"/>
  <c r="AL46" i="1" s="1"/>
  <c r="AA46" i="1"/>
  <c r="AM46" i="1" s="1"/>
  <c r="AB46" i="1"/>
  <c r="AN46" i="1" s="1"/>
  <c r="AC46" i="1"/>
  <c r="AD46" i="1"/>
  <c r="AE46" i="1"/>
  <c r="AF46" i="1"/>
  <c r="AG46" i="1"/>
  <c r="R47" i="1"/>
  <c r="S47" i="1"/>
  <c r="T47" i="1"/>
  <c r="U47" i="1"/>
  <c r="AG47" i="1" s="1"/>
  <c r="V47" i="1"/>
  <c r="AH47" i="1" s="1"/>
  <c r="W47" i="1"/>
  <c r="AI47" i="1" s="1"/>
  <c r="X47" i="1"/>
  <c r="AJ47" i="1" s="1"/>
  <c r="Y47" i="1"/>
  <c r="AK47" i="1" s="1"/>
  <c r="Z47" i="1"/>
  <c r="AL47" i="1" s="1"/>
  <c r="AA47" i="1"/>
  <c r="AM47" i="1" s="1"/>
  <c r="AB47" i="1"/>
  <c r="AN47" i="1" s="1"/>
  <c r="AC47" i="1"/>
  <c r="AO47" i="1" s="1"/>
  <c r="AD47" i="1"/>
  <c r="AE47" i="1"/>
  <c r="AF47" i="1"/>
  <c r="S48" i="1"/>
  <c r="AE48" i="1" s="1"/>
  <c r="T48" i="1"/>
  <c r="AF48" i="1" s="1"/>
  <c r="U48" i="1"/>
  <c r="AG48" i="1" s="1"/>
  <c r="V48" i="1"/>
  <c r="W48" i="1"/>
  <c r="AI48" i="1" s="1"/>
  <c r="X48" i="1"/>
  <c r="AJ48" i="1" s="1"/>
  <c r="Y48" i="1"/>
  <c r="AK48" i="1" s="1"/>
  <c r="Z48" i="1"/>
  <c r="AA48" i="1"/>
  <c r="AM48" i="1" s="1"/>
  <c r="AB48" i="1"/>
  <c r="AN48" i="1" s="1"/>
  <c r="AD48" i="1"/>
  <c r="AH48" i="1"/>
  <c r="AO48" i="1"/>
  <c r="R49" i="1"/>
  <c r="S49" i="1"/>
  <c r="T49" i="1"/>
  <c r="U49" i="1"/>
  <c r="V49" i="1"/>
  <c r="X49" i="1"/>
  <c r="AB49" i="1"/>
  <c r="AC49" i="1"/>
  <c r="AO49" i="1" s="1"/>
  <c r="AD49" i="1"/>
  <c r="AE49" i="1"/>
  <c r="AF49" i="1"/>
  <c r="AG49" i="1"/>
  <c r="AH49" i="1"/>
  <c r="AJ49" i="1"/>
  <c r="AN49" i="1"/>
  <c r="R51" i="1"/>
  <c r="S51" i="1"/>
  <c r="T51" i="1"/>
  <c r="U51" i="1"/>
  <c r="V51" i="1"/>
  <c r="W51" i="1"/>
  <c r="X51" i="1"/>
  <c r="Y51" i="1"/>
  <c r="Z51" i="1"/>
  <c r="AL51" i="1" s="1"/>
  <c r="AA51" i="1"/>
  <c r="AM51" i="1" s="1"/>
  <c r="AB51" i="1"/>
  <c r="AN51" i="1" s="1"/>
  <c r="AC51" i="1"/>
  <c r="AO51" i="1" s="1"/>
  <c r="AD51" i="1"/>
  <c r="AE51" i="1"/>
  <c r="AF51" i="1"/>
  <c r="AG51" i="1"/>
  <c r="AH51" i="1"/>
  <c r="AI51" i="1"/>
  <c r="AJ51" i="1"/>
  <c r="AK51" i="1"/>
  <c r="R52" i="1"/>
  <c r="S52" i="1"/>
  <c r="T52" i="1"/>
  <c r="U52" i="1"/>
  <c r="AG52" i="1" s="1"/>
  <c r="V52" i="1"/>
  <c r="W52" i="1"/>
  <c r="X52" i="1"/>
  <c r="Y52" i="1"/>
  <c r="Z52" i="1"/>
  <c r="AA52" i="1"/>
  <c r="AB52" i="1"/>
  <c r="AC52" i="1"/>
  <c r="AO52" i="1" s="1"/>
  <c r="AD52" i="1"/>
  <c r="AE52" i="1"/>
  <c r="AF52" i="1"/>
  <c r="AH52" i="1"/>
  <c r="AI52" i="1"/>
  <c r="AJ52" i="1"/>
  <c r="AK52" i="1"/>
  <c r="AL52" i="1"/>
  <c r="AM52" i="1"/>
  <c r="AN52" i="1"/>
  <c r="X54" i="1"/>
  <c r="AJ54" i="1" s="1"/>
  <c r="Y54" i="1"/>
  <c r="AK54" i="1" s="1"/>
  <c r="Z54" i="1"/>
  <c r="AL54" i="1" s="1"/>
  <c r="AA54" i="1"/>
  <c r="AM54" i="1" s="1"/>
  <c r="AC54" i="1"/>
  <c r="AO54" i="1" s="1"/>
  <c r="AD54" i="1"/>
  <c r="AE54" i="1"/>
  <c r="AF54" i="1"/>
  <c r="AG54" i="1"/>
  <c r="AH54" i="1"/>
  <c r="AI54" i="1"/>
  <c r="AN54" i="1"/>
  <c r="R65" i="1"/>
  <c r="S65" i="1"/>
  <c r="T65" i="1"/>
  <c r="U65" i="1"/>
  <c r="V65" i="1"/>
  <c r="W65" i="1"/>
  <c r="X65" i="1"/>
  <c r="Y65" i="1"/>
  <c r="Z65" i="1"/>
  <c r="AA65" i="1"/>
  <c r="AB65" i="1"/>
  <c r="AN65" i="1" s="1"/>
  <c r="AC65" i="1"/>
  <c r="AO65" i="1" s="1"/>
  <c r="AD65" i="1"/>
  <c r="AE65" i="1"/>
  <c r="AF65" i="1"/>
  <c r="AG65" i="1"/>
  <c r="AH65" i="1"/>
  <c r="AI65" i="1"/>
  <c r="AJ65" i="1"/>
  <c r="AK65" i="1"/>
  <c r="AL65" i="1"/>
  <c r="AM65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R68" i="1"/>
  <c r="AD68" i="1" s="1"/>
  <c r="S68" i="1"/>
  <c r="AE68" i="1" s="1"/>
  <c r="T68" i="1"/>
  <c r="AF68" i="1" s="1"/>
  <c r="U68" i="1"/>
  <c r="AG68" i="1" s="1"/>
  <c r="V68" i="1"/>
  <c r="AH68" i="1" s="1"/>
  <c r="W68" i="1"/>
  <c r="AI68" i="1" s="1"/>
  <c r="X68" i="1"/>
  <c r="AJ68" i="1" s="1"/>
  <c r="Y68" i="1"/>
  <c r="AK68" i="1" s="1"/>
  <c r="AA68" i="1"/>
  <c r="AM68" i="1" s="1"/>
  <c r="AB68" i="1"/>
  <c r="AN68" i="1" s="1"/>
  <c r="AC68" i="1"/>
  <c r="AL68" i="1"/>
  <c r="AO68" i="1"/>
  <c r="R69" i="1"/>
  <c r="AD69" i="1" s="1"/>
  <c r="S69" i="1"/>
  <c r="AE69" i="1" s="1"/>
  <c r="T69" i="1"/>
  <c r="X69" i="1"/>
  <c r="AJ69" i="1" s="1"/>
  <c r="AA69" i="1"/>
  <c r="AM69" i="1" s="1"/>
  <c r="AB69" i="1"/>
  <c r="AF69" i="1"/>
  <c r="AG69" i="1"/>
  <c r="AK69" i="1"/>
  <c r="AN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R73" i="1"/>
  <c r="S73" i="1"/>
  <c r="T73" i="1"/>
  <c r="U73" i="1"/>
  <c r="AG73" i="1" s="1"/>
  <c r="V73" i="1"/>
  <c r="AH73" i="1" s="1"/>
  <c r="W73" i="1"/>
  <c r="AI73" i="1" s="1"/>
  <c r="X73" i="1"/>
  <c r="AJ73" i="1" s="1"/>
  <c r="Y73" i="1"/>
  <c r="AK73" i="1" s="1"/>
  <c r="Z73" i="1"/>
  <c r="AL73" i="1" s="1"/>
  <c r="AA73" i="1"/>
  <c r="AM73" i="1" s="1"/>
  <c r="AB73" i="1"/>
  <c r="AN73" i="1" s="1"/>
  <c r="AC73" i="1"/>
  <c r="AO73" i="1" s="1"/>
  <c r="AD73" i="1"/>
  <c r="AE73" i="1"/>
  <c r="AF73" i="1"/>
  <c r="AG75" i="1"/>
  <c r="AK75" i="1"/>
  <c r="S9" i="1"/>
  <c r="T9" i="1"/>
  <c r="U9" i="1"/>
  <c r="V9" i="1"/>
  <c r="V12" i="1" s="1"/>
  <c r="W9" i="1"/>
  <c r="X9" i="1"/>
  <c r="X12" i="1" s="1"/>
  <c r="Y9" i="1"/>
  <c r="Z9" i="1"/>
  <c r="AA9" i="1"/>
  <c r="AA12" i="1" s="1"/>
  <c r="AB9" i="1"/>
  <c r="AC9" i="1"/>
  <c r="AH9" i="1"/>
  <c r="AH12" i="1" s="1"/>
  <c r="AM9" i="1"/>
  <c r="R9" i="1"/>
  <c r="R12" i="1" s="1"/>
  <c r="W18" i="1"/>
  <c r="X18" i="1"/>
  <c r="X20" i="1" s="1"/>
  <c r="R26" i="1"/>
  <c r="AD26" i="1" s="1"/>
  <c r="K20" i="1"/>
  <c r="S34" i="1"/>
  <c r="AE34" i="1" s="1"/>
  <c r="T34" i="1"/>
  <c r="AF34" i="1" s="1"/>
  <c r="U34" i="1"/>
  <c r="AG34" i="1" s="1"/>
  <c r="V34" i="1"/>
  <c r="W34" i="1"/>
  <c r="X34" i="1"/>
  <c r="AJ34" i="1" s="1"/>
  <c r="Y34" i="1"/>
  <c r="AK34" i="1" s="1"/>
  <c r="Z34" i="1"/>
  <c r="AL34" i="1" s="1"/>
  <c r="AA34" i="1"/>
  <c r="AM34" i="1" s="1"/>
  <c r="AB34" i="1"/>
  <c r="AN34" i="1" s="1"/>
  <c r="AC34" i="1"/>
  <c r="AO34" i="1" s="1"/>
  <c r="AH34" i="1"/>
  <c r="AI34" i="1"/>
  <c r="R32" i="1"/>
  <c r="R34" i="1"/>
  <c r="AD34" i="1" s="1"/>
  <c r="R27" i="1"/>
  <c r="AD27" i="1" s="1"/>
  <c r="S27" i="1"/>
  <c r="AE27" i="1" s="1"/>
  <c r="T27" i="1"/>
  <c r="AF27" i="1" s="1"/>
  <c r="U27" i="1"/>
  <c r="AG27" i="1" s="1"/>
  <c r="V27" i="1"/>
  <c r="AH27" i="1" s="1"/>
  <c r="W27" i="1"/>
  <c r="AI27" i="1" s="1"/>
  <c r="X27" i="1"/>
  <c r="AJ27" i="1" s="1"/>
  <c r="Y27" i="1"/>
  <c r="AK27" i="1" s="1"/>
  <c r="Z27" i="1"/>
  <c r="AL27" i="1" s="1"/>
  <c r="AA27" i="1"/>
  <c r="AM27" i="1" s="1"/>
  <c r="AB27" i="1"/>
  <c r="AN27" i="1" s="1"/>
  <c r="AC27" i="1"/>
  <c r="AO27" i="1" s="1"/>
  <c r="R29" i="1"/>
  <c r="AD29" i="1" s="1"/>
  <c r="S29" i="1"/>
  <c r="AE29" i="1" s="1"/>
  <c r="U29" i="1"/>
  <c r="AG29" i="1" s="1"/>
  <c r="V29" i="1"/>
  <c r="AH29" i="1" s="1"/>
  <c r="X29" i="1"/>
  <c r="AJ29" i="1" s="1"/>
  <c r="AA29" i="1"/>
  <c r="AM29" i="1" s="1"/>
  <c r="R30" i="1"/>
  <c r="AD30" i="1" s="1"/>
  <c r="S30" i="1"/>
  <c r="AE30" i="1" s="1"/>
  <c r="T30" i="1"/>
  <c r="AF30" i="1" s="1"/>
  <c r="U30" i="1"/>
  <c r="AG30" i="1" s="1"/>
  <c r="V30" i="1"/>
  <c r="AH30" i="1" s="1"/>
  <c r="W30" i="1"/>
  <c r="AI30" i="1" s="1"/>
  <c r="X30" i="1"/>
  <c r="AJ30" i="1" s="1"/>
  <c r="Y30" i="1"/>
  <c r="AK30" i="1" s="1"/>
  <c r="Z30" i="1"/>
  <c r="AL30" i="1" s="1"/>
  <c r="AA30" i="1"/>
  <c r="AM30" i="1" s="1"/>
  <c r="AB30" i="1"/>
  <c r="AN30" i="1" s="1"/>
  <c r="AC30" i="1"/>
  <c r="AO30" i="1" s="1"/>
  <c r="S23" i="1"/>
  <c r="T23" i="1"/>
  <c r="V23" i="1"/>
  <c r="W23" i="1"/>
  <c r="Y23" i="1"/>
  <c r="Z23" i="1"/>
  <c r="AL23" i="1" s="1"/>
  <c r="AA23" i="1"/>
  <c r="AM23" i="1" s="1"/>
  <c r="AC23" i="1"/>
  <c r="AO23" i="1" s="1"/>
  <c r="AE23" i="1"/>
  <c r="AF23" i="1"/>
  <c r="AH23" i="1"/>
  <c r="AI23" i="1"/>
  <c r="AK23" i="1"/>
  <c r="S11" i="1"/>
  <c r="AE11" i="1" s="1"/>
  <c r="T11" i="1"/>
  <c r="AF11" i="1" s="1"/>
  <c r="U11" i="1"/>
  <c r="AG11" i="1" s="1"/>
  <c r="V11" i="1"/>
  <c r="AH11" i="1" s="1"/>
  <c r="W11" i="1"/>
  <c r="AI11" i="1" s="1"/>
  <c r="X11" i="1"/>
  <c r="AJ11" i="1" s="1"/>
  <c r="Y11" i="1"/>
  <c r="AK11" i="1" s="1"/>
  <c r="Z11" i="1"/>
  <c r="AL11" i="1" s="1"/>
  <c r="AA11" i="1"/>
  <c r="AM11" i="1" s="1"/>
  <c r="AB11" i="1"/>
  <c r="AN11" i="1" s="1"/>
  <c r="AC11" i="1"/>
  <c r="AO11" i="1" s="1"/>
  <c r="S13" i="1"/>
  <c r="AE13" i="1" s="1"/>
  <c r="T13" i="1"/>
  <c r="AF13" i="1" s="1"/>
  <c r="U13" i="1"/>
  <c r="AG13" i="1" s="1"/>
  <c r="V13" i="1"/>
  <c r="W13" i="1"/>
  <c r="AI13" i="1" s="1"/>
  <c r="X13" i="1"/>
  <c r="AJ13" i="1" s="1"/>
  <c r="Y13" i="1"/>
  <c r="AK13" i="1" s="1"/>
  <c r="Z13" i="1"/>
  <c r="AL13" i="1" s="1"/>
  <c r="AA13" i="1"/>
  <c r="AM13" i="1" s="1"/>
  <c r="AB13" i="1"/>
  <c r="AN13" i="1" s="1"/>
  <c r="AC13" i="1"/>
  <c r="AO13" i="1" s="1"/>
  <c r="AH13" i="1"/>
  <c r="R11" i="1"/>
  <c r="AD11" i="1" s="1"/>
  <c r="R13" i="1"/>
  <c r="AD13" i="1" s="1"/>
  <c r="AE2" i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S2" i="1"/>
  <c r="T2" i="1" s="1"/>
  <c r="U2" i="1" s="1"/>
  <c r="V2" i="1" s="1"/>
  <c r="W2" i="1" s="1"/>
  <c r="X2" i="1" s="1"/>
  <c r="Y2" i="1" s="1"/>
  <c r="Z2" i="1" s="1"/>
  <c r="AA2" i="1" s="1"/>
  <c r="AB2" i="1" s="1"/>
  <c r="AC2" i="1" s="1"/>
  <c r="AJ18" i="1" l="1"/>
  <c r="AJ20" i="1" s="1"/>
  <c r="X59" i="1"/>
  <c r="AJ59" i="1" s="1"/>
  <c r="AJ61" i="1" s="1"/>
  <c r="AO9" i="1"/>
  <c r="AO12" i="1" s="1"/>
  <c r="AC12" i="1"/>
  <c r="AK9" i="1"/>
  <c r="AK12" i="1" s="1"/>
  <c r="Y12" i="1"/>
  <c r="W29" i="1"/>
  <c r="U12" i="1"/>
  <c r="AN9" i="1"/>
  <c r="AN12" i="1" s="1"/>
  <c r="AB12" i="1"/>
  <c r="AF9" i="1"/>
  <c r="AF12" i="1" s="1"/>
  <c r="T12" i="1"/>
  <c r="AS62" i="1"/>
  <c r="AM12" i="1"/>
  <c r="AI9" i="1"/>
  <c r="AI12" i="1" s="1"/>
  <c r="W12" i="1"/>
  <c r="AE9" i="1"/>
  <c r="AE12" i="1" s="1"/>
  <c r="S12" i="1"/>
  <c r="AL9" i="1"/>
  <c r="AL12" i="1" s="1"/>
  <c r="Z12" i="1"/>
  <c r="AJ9" i="1"/>
  <c r="Z29" i="1"/>
  <c r="AG41" i="1"/>
  <c r="AG39" i="1" s="1"/>
  <c r="AG56" i="1" s="1"/>
  <c r="U39" i="1"/>
  <c r="U56" i="1" s="1"/>
  <c r="AL41" i="1"/>
  <c r="AL39" i="1" s="1"/>
  <c r="AL56" i="1" s="1"/>
  <c r="Z39" i="1"/>
  <c r="Z56" i="1" s="1"/>
  <c r="AH41" i="1"/>
  <c r="AH39" i="1" s="1"/>
  <c r="AH56" i="1" s="1"/>
  <c r="V39" i="1"/>
  <c r="V56" i="1" s="1"/>
  <c r="AC29" i="1"/>
  <c r="K61" i="1"/>
  <c r="X60" i="1"/>
  <c r="L60" i="1"/>
  <c r="AK41" i="1"/>
  <c r="AK39" i="1" s="1"/>
  <c r="AK56" i="1" s="1"/>
  <c r="Y39" i="1"/>
  <c r="Y56" i="1" s="1"/>
  <c r="AD9" i="1"/>
  <c r="T29" i="1"/>
  <c r="AG9" i="1"/>
  <c r="K60" i="1"/>
  <c r="AN41" i="1"/>
  <c r="AN39" i="1" s="1"/>
  <c r="AN56" i="1" s="1"/>
  <c r="AB39" i="1"/>
  <c r="AB56" i="1" s="1"/>
  <c r="AJ41" i="1"/>
  <c r="AJ39" i="1" s="1"/>
  <c r="AJ56" i="1" s="1"/>
  <c r="X39" i="1"/>
  <c r="X56" i="1" s="1"/>
  <c r="S41" i="1"/>
  <c r="S39" i="1" s="1"/>
  <c r="S56" i="1" s="1"/>
  <c r="R39" i="1"/>
  <c r="R56" i="1" s="1"/>
  <c r="AM41" i="1"/>
  <c r="AM39" i="1" s="1"/>
  <c r="AM56" i="1" s="1"/>
  <c r="AA39" i="1"/>
  <c r="AA56" i="1" s="1"/>
  <c r="AI41" i="1"/>
  <c r="AI39" i="1" s="1"/>
  <c r="AI56" i="1" s="1"/>
  <c r="W39" i="1"/>
  <c r="W56" i="1" s="1"/>
  <c r="AO46" i="1"/>
  <c r="AO39" i="1" s="1"/>
  <c r="AO56" i="1" s="1"/>
  <c r="AC39" i="1"/>
  <c r="AC56" i="1" s="1"/>
  <c r="AD41" i="1"/>
  <c r="AD39" i="1" s="1"/>
  <c r="AD56" i="1" s="1"/>
  <c r="W20" i="1"/>
  <c r="AI18" i="1"/>
  <c r="AI20" i="1" s="1"/>
  <c r="AJ19" i="1"/>
  <c r="X19" i="1"/>
  <c r="W19" i="1"/>
  <c r="J39" i="1"/>
  <c r="J56" i="1" s="1"/>
  <c r="K39" i="1"/>
  <c r="K56" i="1" s="1"/>
  <c r="L39" i="1"/>
  <c r="L56" i="1" s="1"/>
  <c r="M39" i="1"/>
  <c r="M56" i="1" s="1"/>
  <c r="N39" i="1"/>
  <c r="N56" i="1" s="1"/>
  <c r="O39" i="1"/>
  <c r="O56" i="1" s="1"/>
  <c r="P39" i="1"/>
  <c r="P56" i="1" s="1"/>
  <c r="Q39" i="1"/>
  <c r="Q56" i="1" s="1"/>
  <c r="I39" i="1"/>
  <c r="I56" i="1" s="1"/>
  <c r="Q40" i="1"/>
  <c r="P40" i="1"/>
  <c r="O40" i="1"/>
  <c r="N40" i="1"/>
  <c r="M40" i="1"/>
  <c r="L40" i="1"/>
  <c r="K40" i="1"/>
  <c r="J40" i="1"/>
  <c r="I40" i="1"/>
  <c r="H40" i="1"/>
  <c r="G40" i="1"/>
  <c r="F40" i="1"/>
  <c r="AD40" i="1" s="1"/>
  <c r="AO29" i="1" l="1"/>
  <c r="AE41" i="1"/>
  <c r="AE39" i="1" s="1"/>
  <c r="AE56" i="1" s="1"/>
  <c r="AJ60" i="1"/>
  <c r="X61" i="1"/>
  <c r="AL29" i="1"/>
  <c r="AJ12" i="1"/>
  <c r="AI29" i="1"/>
  <c r="AG12" i="1"/>
  <c r="AF29" i="1"/>
  <c r="AD12" i="1"/>
  <c r="W61" i="1"/>
  <c r="W60" i="1"/>
  <c r="T41" i="1"/>
  <c r="T39" i="1" s="1"/>
  <c r="T56" i="1" s="1"/>
  <c r="AI19" i="1"/>
  <c r="F39" i="1"/>
  <c r="F56" i="1" s="1"/>
  <c r="AF41" i="1" l="1"/>
  <c r="AF39" i="1" s="1"/>
  <c r="AF56" i="1" s="1"/>
  <c r="AI61" i="1"/>
  <c r="AI60" i="1"/>
  <c r="Q59" i="1" l="1"/>
  <c r="AC59" i="1" s="1"/>
  <c r="AO59" i="1" s="1"/>
  <c r="P59" i="1"/>
  <c r="AB59" i="1" s="1"/>
  <c r="AN59" i="1" s="1"/>
  <c r="O59" i="1"/>
  <c r="AA59" i="1" s="1"/>
  <c r="AM59" i="1" s="1"/>
  <c r="N59" i="1"/>
  <c r="Z59" i="1" s="1"/>
  <c r="AL59" i="1" s="1"/>
  <c r="M59" i="1"/>
  <c r="Y59" i="1" s="1"/>
  <c r="AK59" i="1" s="1"/>
  <c r="J59" i="1"/>
  <c r="V59" i="1" s="1"/>
  <c r="AH59" i="1" s="1"/>
  <c r="I59" i="1"/>
  <c r="U59" i="1" s="1"/>
  <c r="AG59" i="1" s="1"/>
  <c r="H59" i="1"/>
  <c r="T59" i="1" s="1"/>
  <c r="AF59" i="1" s="1"/>
  <c r="G59" i="1"/>
  <c r="S59" i="1" s="1"/>
  <c r="AE59" i="1" s="1"/>
  <c r="F59" i="1"/>
  <c r="R59" i="1" s="1"/>
  <c r="AD59" i="1" s="1"/>
  <c r="R38" i="1"/>
  <c r="Q20" i="1"/>
  <c r="P20" i="1"/>
  <c r="F21" i="1"/>
  <c r="R21" i="1" s="1"/>
  <c r="AD21" i="1" s="1"/>
  <c r="G21" i="1"/>
  <c r="S21" i="1" s="1"/>
  <c r="AE21" i="1" s="1"/>
  <c r="H21" i="1"/>
  <c r="T21" i="1" s="1"/>
  <c r="I21" i="1"/>
  <c r="U21" i="1" s="1"/>
  <c r="AG21" i="1" s="1"/>
  <c r="J21" i="1"/>
  <c r="V21" i="1" s="1"/>
  <c r="AH21" i="1" s="1"/>
  <c r="K21" i="1"/>
  <c r="W21" i="1" s="1"/>
  <c r="L21" i="1"/>
  <c r="X21" i="1" s="1"/>
  <c r="M21" i="1"/>
  <c r="Y21" i="1" s="1"/>
  <c r="AK21" i="1" s="1"/>
  <c r="N21" i="1"/>
  <c r="Z21" i="1" s="1"/>
  <c r="AL21" i="1" s="1"/>
  <c r="O21" i="1"/>
  <c r="AA21" i="1" s="1"/>
  <c r="P21" i="1"/>
  <c r="AB21" i="1" s="1"/>
  <c r="Q21" i="1"/>
  <c r="AC21" i="1" s="1"/>
  <c r="AO21" i="1" s="1"/>
  <c r="O20" i="1"/>
  <c r="N20" i="1"/>
  <c r="M20" i="1"/>
  <c r="L20" i="1"/>
  <c r="J20" i="1"/>
  <c r="I20" i="1"/>
  <c r="H20" i="1"/>
  <c r="G20" i="1"/>
  <c r="F20" i="1"/>
  <c r="Q19" i="1"/>
  <c r="P19" i="1"/>
  <c r="O19" i="1"/>
  <c r="N19" i="1"/>
  <c r="L19" i="1"/>
  <c r="K19" i="1"/>
  <c r="M19" i="1"/>
  <c r="J19" i="1"/>
  <c r="I19" i="1"/>
  <c r="H19" i="1"/>
  <c r="G19" i="1"/>
  <c r="F19" i="1"/>
  <c r="G25" i="1"/>
  <c r="S25" i="1" s="1"/>
  <c r="AE25" i="1" s="1"/>
  <c r="H25" i="1"/>
  <c r="T25" i="1" s="1"/>
  <c r="AF25" i="1" s="1"/>
  <c r="I25" i="1"/>
  <c r="U25" i="1" s="1"/>
  <c r="AG25" i="1" s="1"/>
  <c r="J25" i="1"/>
  <c r="V25" i="1" s="1"/>
  <c r="AH25" i="1" s="1"/>
  <c r="K25" i="1"/>
  <c r="W25" i="1" s="1"/>
  <c r="AI25" i="1" s="1"/>
  <c r="L25" i="1"/>
  <c r="X25" i="1" s="1"/>
  <c r="AJ25" i="1" s="1"/>
  <c r="M25" i="1"/>
  <c r="Y25" i="1" s="1"/>
  <c r="AK25" i="1" s="1"/>
  <c r="N25" i="1"/>
  <c r="Z25" i="1" s="1"/>
  <c r="AL25" i="1" s="1"/>
  <c r="O25" i="1"/>
  <c r="AA25" i="1" s="1"/>
  <c r="AM25" i="1" s="1"/>
  <c r="P25" i="1"/>
  <c r="AB25" i="1" s="1"/>
  <c r="AN25" i="1" s="1"/>
  <c r="Q25" i="1"/>
  <c r="AC25" i="1" s="1"/>
  <c r="AO25" i="1" s="1"/>
  <c r="F25" i="1"/>
  <c r="R25" i="1" s="1"/>
  <c r="AD25" i="1" s="1"/>
  <c r="G10" i="1"/>
  <c r="S10" i="1" s="1"/>
  <c r="AE10" i="1" s="1"/>
  <c r="H10" i="1"/>
  <c r="T10" i="1" s="1"/>
  <c r="AF10" i="1" s="1"/>
  <c r="I10" i="1"/>
  <c r="U10" i="1" s="1"/>
  <c r="AG10" i="1" s="1"/>
  <c r="J10" i="1"/>
  <c r="V10" i="1" s="1"/>
  <c r="AH10" i="1" s="1"/>
  <c r="K10" i="1"/>
  <c r="W10" i="1" s="1"/>
  <c r="AI10" i="1" s="1"/>
  <c r="L10" i="1"/>
  <c r="X10" i="1" s="1"/>
  <c r="AJ10" i="1" s="1"/>
  <c r="M10" i="1"/>
  <c r="Y10" i="1" s="1"/>
  <c r="AK10" i="1" s="1"/>
  <c r="N10" i="1"/>
  <c r="Z10" i="1" s="1"/>
  <c r="AL10" i="1" s="1"/>
  <c r="O10" i="1"/>
  <c r="AA10" i="1" s="1"/>
  <c r="AM10" i="1" s="1"/>
  <c r="P10" i="1"/>
  <c r="AB10" i="1" s="1"/>
  <c r="AN10" i="1" s="1"/>
  <c r="Q10" i="1"/>
  <c r="AC10" i="1" s="1"/>
  <c r="AO10" i="1" s="1"/>
  <c r="F10" i="1"/>
  <c r="R10" i="1" s="1"/>
  <c r="AD10" i="1" s="1"/>
  <c r="F24" i="1"/>
  <c r="R24" i="1" s="1"/>
  <c r="AD24" i="1" s="1"/>
  <c r="G24" i="1"/>
  <c r="S24" i="1" s="1"/>
  <c r="AE24" i="1" s="1"/>
  <c r="H24" i="1"/>
  <c r="T24" i="1" s="1"/>
  <c r="AF24" i="1" s="1"/>
  <c r="I24" i="1"/>
  <c r="U24" i="1" s="1"/>
  <c r="AG24" i="1" s="1"/>
  <c r="J24" i="1"/>
  <c r="V24" i="1" s="1"/>
  <c r="AH24" i="1" s="1"/>
  <c r="K24" i="1"/>
  <c r="W24" i="1" s="1"/>
  <c r="AI24" i="1" s="1"/>
  <c r="L24" i="1"/>
  <c r="X24" i="1" s="1"/>
  <c r="AJ24" i="1" s="1"/>
  <c r="M24" i="1"/>
  <c r="Y24" i="1" s="1"/>
  <c r="AK24" i="1" s="1"/>
  <c r="N24" i="1"/>
  <c r="Z24" i="1" s="1"/>
  <c r="AL24" i="1" s="1"/>
  <c r="O24" i="1"/>
  <c r="AA24" i="1" s="1"/>
  <c r="AM24" i="1" s="1"/>
  <c r="P24" i="1"/>
  <c r="AB24" i="1" s="1"/>
  <c r="AN24" i="1" s="1"/>
  <c r="Q24" i="1"/>
  <c r="AC24" i="1" s="1"/>
  <c r="AO24" i="1" s="1"/>
  <c r="Q18" i="1"/>
  <c r="AC18" i="1" s="1"/>
  <c r="P18" i="1"/>
  <c r="AB18" i="1" s="1"/>
  <c r="O18" i="1"/>
  <c r="AA18" i="1" s="1"/>
  <c r="N18" i="1"/>
  <c r="Z18" i="1" s="1"/>
  <c r="M18" i="1"/>
  <c r="Y18" i="1" s="1"/>
  <c r="J18" i="1"/>
  <c r="V18" i="1" s="1"/>
  <c r="I18" i="1"/>
  <c r="U18" i="1" s="1"/>
  <c r="H18" i="1"/>
  <c r="T18" i="1" s="1"/>
  <c r="G18" i="1"/>
  <c r="S18" i="1" s="1"/>
  <c r="F18" i="1"/>
  <c r="R18" i="1" s="1"/>
  <c r="F22" i="1"/>
  <c r="R22" i="1" s="1"/>
  <c r="AD22" i="1" s="1"/>
  <c r="G22" i="1"/>
  <c r="S22" i="1" s="1"/>
  <c r="AE22" i="1" s="1"/>
  <c r="H22" i="1"/>
  <c r="T22" i="1" s="1"/>
  <c r="AF22" i="1" s="1"/>
  <c r="I22" i="1"/>
  <c r="U22" i="1" s="1"/>
  <c r="AG22" i="1" s="1"/>
  <c r="J22" i="1"/>
  <c r="V22" i="1" s="1"/>
  <c r="AH22" i="1" s="1"/>
  <c r="K22" i="1"/>
  <c r="W22" i="1" s="1"/>
  <c r="AI22" i="1" s="1"/>
  <c r="L22" i="1"/>
  <c r="X22" i="1" s="1"/>
  <c r="AJ22" i="1" s="1"/>
  <c r="M22" i="1"/>
  <c r="Y22" i="1" s="1"/>
  <c r="N22" i="1"/>
  <c r="Z22" i="1" s="1"/>
  <c r="AL22" i="1" s="1"/>
  <c r="O22" i="1"/>
  <c r="AA22" i="1" s="1"/>
  <c r="AM22" i="1" s="1"/>
  <c r="P22" i="1"/>
  <c r="AB22" i="1" s="1"/>
  <c r="AN22" i="1" s="1"/>
  <c r="Q22" i="1"/>
  <c r="AC22" i="1" s="1"/>
  <c r="AO22" i="1" s="1"/>
  <c r="J60" i="1" l="1"/>
  <c r="J61" i="1"/>
  <c r="P61" i="1"/>
  <c r="P60" i="1"/>
  <c r="G61" i="1"/>
  <c r="G60" i="1"/>
  <c r="M61" i="1"/>
  <c r="M60" i="1"/>
  <c r="Q61" i="1"/>
  <c r="Q60" i="1"/>
  <c r="I61" i="1"/>
  <c r="I60" i="1"/>
  <c r="O60" i="1"/>
  <c r="O61" i="1"/>
  <c r="F61" i="1"/>
  <c r="F60" i="1"/>
  <c r="H61" i="1"/>
  <c r="H60" i="1"/>
  <c r="N60" i="1"/>
  <c r="N61" i="1"/>
  <c r="Z20" i="1"/>
  <c r="Z19" i="1"/>
  <c r="AL18" i="1"/>
  <c r="U19" i="1"/>
  <c r="AG18" i="1"/>
  <c r="U20" i="1"/>
  <c r="AA20" i="1"/>
  <c r="AA19" i="1"/>
  <c r="AA31" i="1" s="1"/>
  <c r="AM18" i="1"/>
  <c r="T20" i="1"/>
  <c r="T19" i="1"/>
  <c r="AF18" i="1"/>
  <c r="AK22" i="1"/>
  <c r="R20" i="1"/>
  <c r="R19" i="1"/>
  <c r="AD18" i="1"/>
  <c r="V20" i="1"/>
  <c r="V19" i="1"/>
  <c r="AH18" i="1"/>
  <c r="AB20" i="1"/>
  <c r="AB19" i="1"/>
  <c r="AN18" i="1"/>
  <c r="AN21" i="1"/>
  <c r="AJ21" i="1"/>
  <c r="AF21" i="1"/>
  <c r="S20" i="1"/>
  <c r="S19" i="1"/>
  <c r="S31" i="1" s="1"/>
  <c r="AE18" i="1"/>
  <c r="Y19" i="1"/>
  <c r="AK18" i="1"/>
  <c r="Y20" i="1"/>
  <c r="AC20" i="1"/>
  <c r="AC19" i="1"/>
  <c r="AO18" i="1"/>
  <c r="AM21" i="1"/>
  <c r="AI21" i="1"/>
  <c r="U61" i="1" l="1"/>
  <c r="U60" i="1"/>
  <c r="S60" i="1"/>
  <c r="S61" i="1"/>
  <c r="R60" i="1"/>
  <c r="R61" i="1"/>
  <c r="Y61" i="1"/>
  <c r="Y60" i="1"/>
  <c r="Z60" i="1"/>
  <c r="Z61" i="1"/>
  <c r="AB60" i="1"/>
  <c r="AB61" i="1"/>
  <c r="AA60" i="1"/>
  <c r="AA61" i="1"/>
  <c r="T61" i="1"/>
  <c r="T60" i="1"/>
  <c r="AC61" i="1"/>
  <c r="AC60" i="1"/>
  <c r="V60" i="1"/>
  <c r="V61" i="1"/>
  <c r="AO20" i="1"/>
  <c r="AO19" i="1"/>
  <c r="AE20" i="1"/>
  <c r="AE19" i="1"/>
  <c r="AK19" i="1"/>
  <c r="AK20" i="1"/>
  <c r="AN20" i="1"/>
  <c r="AN19" i="1"/>
  <c r="AH20" i="1"/>
  <c r="AH19" i="1"/>
  <c r="AD20" i="1"/>
  <c r="AD19" i="1"/>
  <c r="AM20" i="1"/>
  <c r="AM19" i="1"/>
  <c r="AM31" i="1"/>
  <c r="AL20" i="1"/>
  <c r="AL19" i="1"/>
  <c r="AF20" i="1"/>
  <c r="AF19" i="1"/>
  <c r="AG20" i="1"/>
  <c r="AG19" i="1"/>
  <c r="F12" i="1"/>
  <c r="G12" i="1"/>
  <c r="H12" i="1"/>
  <c r="I12" i="1"/>
  <c r="J12" i="1"/>
  <c r="K12" i="1"/>
  <c r="L12" i="1"/>
  <c r="M12" i="1"/>
  <c r="N12" i="1"/>
  <c r="O12" i="1"/>
  <c r="P12" i="1"/>
  <c r="Q12" i="1"/>
  <c r="AO60" i="1" l="1"/>
  <c r="AO61" i="1"/>
  <c r="AL60" i="1"/>
  <c r="AL61" i="1"/>
  <c r="AG61" i="1"/>
  <c r="AG60" i="1"/>
  <c r="AH60" i="1"/>
  <c r="AH61" i="1"/>
  <c r="AN60" i="1"/>
  <c r="AN61" i="1"/>
  <c r="AE60" i="1"/>
  <c r="AE61" i="1"/>
  <c r="AM60" i="1"/>
  <c r="AM61" i="1"/>
  <c r="AS59" i="1"/>
  <c r="AD60" i="1"/>
  <c r="AD61" i="1"/>
  <c r="AF60" i="1"/>
  <c r="AF61" i="1"/>
  <c r="AK60" i="1"/>
  <c r="AK61" i="1"/>
  <c r="AS60" i="1" l="1"/>
  <c r="AS61" i="1"/>
  <c r="I23" i="1"/>
  <c r="U23" i="1" s="1"/>
  <c r="L23" i="1"/>
  <c r="X23" i="1" s="1"/>
  <c r="F23" i="1"/>
  <c r="R23" i="1" s="1"/>
  <c r="AD23" i="1" l="1"/>
  <c r="AD31" i="1" s="1"/>
  <c r="R31" i="1"/>
  <c r="AJ23" i="1"/>
  <c r="AJ31" i="1" s="1"/>
  <c r="X31" i="1"/>
  <c r="AG23" i="1"/>
  <c r="AG31" i="1" s="1"/>
  <c r="U31" i="1"/>
  <c r="F15" i="1"/>
  <c r="R15" i="1" s="1"/>
  <c r="AD15" i="1" s="1"/>
  <c r="R33" i="1" l="1"/>
  <c r="AD33" i="1"/>
  <c r="F74" i="1"/>
  <c r="F75" i="1"/>
  <c r="R75" i="1" s="1"/>
  <c r="AD75" i="1" s="1"/>
  <c r="G75" i="1"/>
  <c r="S75" i="1" s="1"/>
  <c r="AE75" i="1" s="1"/>
  <c r="H75" i="1"/>
  <c r="T75" i="1" s="1"/>
  <c r="AF75" i="1" s="1"/>
  <c r="I75" i="1"/>
  <c r="J75" i="1"/>
  <c r="AH75" i="1" s="1"/>
  <c r="K75" i="1"/>
  <c r="L75" i="1"/>
  <c r="X75" i="1" s="1"/>
  <c r="AJ75" i="1" s="1"/>
  <c r="M75" i="1"/>
  <c r="N75" i="1"/>
  <c r="AL75" i="1" s="1"/>
  <c r="O75" i="1"/>
  <c r="AA75" i="1" s="1"/>
  <c r="AM75" i="1" s="1"/>
  <c r="P75" i="1"/>
  <c r="AB75" i="1" s="1"/>
  <c r="AN75" i="1" s="1"/>
  <c r="Q75" i="1"/>
  <c r="G74" i="1" l="1"/>
  <c r="R74" i="1"/>
  <c r="AD74" i="1" s="1"/>
  <c r="L64" i="1"/>
  <c r="M64" i="1"/>
  <c r="O64" i="1"/>
  <c r="P64" i="1"/>
  <c r="H74" i="1" l="1"/>
  <c r="S74" i="1"/>
  <c r="AE74" i="1" s="1"/>
  <c r="F31" i="1"/>
  <c r="I74" i="1" l="1"/>
  <c r="T74" i="1"/>
  <c r="AF74" i="1" s="1"/>
  <c r="Q15" i="1"/>
  <c r="AC15" i="1" s="1"/>
  <c r="AO15" i="1" s="1"/>
  <c r="Q64" i="1"/>
  <c r="P29" i="1"/>
  <c r="AB29" i="1" s="1"/>
  <c r="AN29" i="1" s="1"/>
  <c r="Q28" i="1"/>
  <c r="Z28" i="1" s="1"/>
  <c r="AI28" i="1" s="1"/>
  <c r="P28" i="1"/>
  <c r="Y28" i="1" s="1"/>
  <c r="AH28" i="1" s="1"/>
  <c r="AH31" i="1" s="1"/>
  <c r="P23" i="1"/>
  <c r="AB23" i="1" s="1"/>
  <c r="J74" i="1" l="1"/>
  <c r="U74" i="1"/>
  <c r="AG74" i="1" s="1"/>
  <c r="AN23" i="1"/>
  <c r="AB31" i="1"/>
  <c r="G15" i="1"/>
  <c r="S15" i="1" s="1"/>
  <c r="H15" i="1"/>
  <c r="T15" i="1" s="1"/>
  <c r="AF15" i="1" s="1"/>
  <c r="I15" i="1"/>
  <c r="U15" i="1" s="1"/>
  <c r="AG15" i="1" l="1"/>
  <c r="AG33" i="1" s="1"/>
  <c r="U33" i="1"/>
  <c r="AE15" i="1"/>
  <c r="S33" i="1"/>
  <c r="K74" i="1"/>
  <c r="V74" i="1"/>
  <c r="AH74" i="1" s="1"/>
  <c r="H56" i="2"/>
  <c r="G56" i="2"/>
  <c r="G18" i="2"/>
  <c r="F57" i="2"/>
  <c r="L74" i="1" l="1"/>
  <c r="W74" i="1"/>
  <c r="AI74" i="1" s="1"/>
  <c r="N28" i="1"/>
  <c r="W28" i="1" s="1"/>
  <c r="AF28" i="1" s="1"/>
  <c r="AO28" i="1" s="1"/>
  <c r="M74" i="1" l="1"/>
  <c r="X74" i="1"/>
  <c r="AJ74" i="1" s="1"/>
  <c r="J12" i="2"/>
  <c r="F14" i="2"/>
  <c r="N74" i="1" l="1"/>
  <c r="Z74" i="1" s="1"/>
  <c r="AL74" i="1" s="1"/>
  <c r="Y74" i="1"/>
  <c r="AK74" i="1" s="1"/>
  <c r="J57" i="2"/>
  <c r="J59" i="2"/>
  <c r="J60" i="2"/>
  <c r="J45" i="2"/>
  <c r="J46" i="2"/>
  <c r="J47" i="2"/>
  <c r="J48" i="2"/>
  <c r="J37" i="2"/>
  <c r="J39" i="2"/>
  <c r="J25" i="2"/>
  <c r="J26" i="2"/>
  <c r="J27" i="2"/>
  <c r="J29" i="2"/>
  <c r="J32" i="2"/>
  <c r="J33" i="2"/>
  <c r="J34" i="2"/>
  <c r="J14" i="2"/>
  <c r="J15" i="2"/>
  <c r="J16" i="2"/>
  <c r="J17" i="2"/>
  <c r="J18" i="2"/>
  <c r="J19" i="2"/>
  <c r="J56" i="2"/>
  <c r="F31" i="2" l="1"/>
  <c r="J31" i="2" s="1"/>
  <c r="J11" i="2"/>
  <c r="J44" i="2" l="1"/>
  <c r="I24" i="2"/>
  <c r="F75" i="2"/>
  <c r="G75" i="2" s="1"/>
  <c r="H75" i="2" s="1"/>
  <c r="I75" i="2" s="1"/>
  <c r="F70" i="2"/>
  <c r="G70" i="2" s="1"/>
  <c r="D59" i="2"/>
  <c r="G58" i="2"/>
  <c r="E61" i="2"/>
  <c r="D56" i="2"/>
  <c r="D61" i="2" s="1"/>
  <c r="H55" i="2"/>
  <c r="G55" i="2"/>
  <c r="D52" i="2"/>
  <c r="I51" i="2"/>
  <c r="H51" i="2"/>
  <c r="G51" i="2"/>
  <c r="F51" i="2"/>
  <c r="G50" i="2"/>
  <c r="F50" i="2"/>
  <c r="I49" i="2"/>
  <c r="H49" i="2"/>
  <c r="F49" i="2"/>
  <c r="E52" i="2"/>
  <c r="D36" i="2"/>
  <c r="D40" i="2" s="1"/>
  <c r="I30" i="2"/>
  <c r="F30" i="2"/>
  <c r="J28" i="2"/>
  <c r="H13" i="2"/>
  <c r="J13" i="2" s="1"/>
  <c r="O74" i="1"/>
  <c r="AA74" i="1" s="1"/>
  <c r="AM74" i="1" s="1"/>
  <c r="M29" i="1"/>
  <c r="Y29" i="1" s="1"/>
  <c r="AK29" i="1" s="1"/>
  <c r="M28" i="1"/>
  <c r="V28" i="1" s="1"/>
  <c r="AE28" i="1" l="1"/>
  <c r="V31" i="1"/>
  <c r="AK31" i="1"/>
  <c r="Y31" i="1"/>
  <c r="P74" i="1"/>
  <c r="AB74" i="1" s="1"/>
  <c r="AN74" i="1" s="1"/>
  <c r="N64" i="1"/>
  <c r="H64" i="1"/>
  <c r="J30" i="2"/>
  <c r="J55" i="2"/>
  <c r="J58" i="2"/>
  <c r="H52" i="2"/>
  <c r="H29" i="1"/>
  <c r="J64" i="1"/>
  <c r="I64" i="1"/>
  <c r="F64" i="1"/>
  <c r="G64" i="1"/>
  <c r="K64" i="1"/>
  <c r="E20" i="2"/>
  <c r="J24" i="2"/>
  <c r="J51" i="2"/>
  <c r="J50" i="2"/>
  <c r="I52" i="2"/>
  <c r="I36" i="2"/>
  <c r="J49" i="2"/>
  <c r="G52" i="2"/>
  <c r="H20" i="2"/>
  <c r="G36" i="2"/>
  <c r="F36" i="2"/>
  <c r="E36" i="2"/>
  <c r="D38" i="2"/>
  <c r="I61" i="2"/>
  <c r="I20" i="2"/>
  <c r="G61" i="2"/>
  <c r="F61" i="2"/>
  <c r="G20" i="2"/>
  <c r="D67" i="2"/>
  <c r="D63" i="2"/>
  <c r="H61" i="2"/>
  <c r="H70" i="2"/>
  <c r="F20" i="2"/>
  <c r="F52" i="2"/>
  <c r="F66" i="1" l="1"/>
  <c r="F71" i="1"/>
  <c r="AN28" i="1"/>
  <c r="AN31" i="1" s="1"/>
  <c r="AE31" i="1"/>
  <c r="AE33" i="1" s="1"/>
  <c r="G66" i="1"/>
  <c r="K29" i="1"/>
  <c r="N29" i="1" s="1"/>
  <c r="J61" i="2"/>
  <c r="Q74" i="1"/>
  <c r="AC74" i="1" s="1"/>
  <c r="AO74" i="1" s="1"/>
  <c r="O31" i="1"/>
  <c r="E38" i="2"/>
  <c r="H63" i="2"/>
  <c r="I63" i="2"/>
  <c r="H36" i="2"/>
  <c r="J36" i="2" s="1"/>
  <c r="G63" i="2"/>
  <c r="J35" i="2"/>
  <c r="J52" i="2"/>
  <c r="J20" i="2"/>
  <c r="F63" i="2"/>
  <c r="I38" i="2"/>
  <c r="G38" i="2"/>
  <c r="F38" i="2"/>
  <c r="D72" i="2"/>
  <c r="D73" i="2" s="1"/>
  <c r="E40" i="2"/>
  <c r="I70" i="2"/>
  <c r="Q29" i="1" l="1"/>
  <c r="AO31" i="1"/>
  <c r="AO33" i="1" s="1"/>
  <c r="AC31" i="1"/>
  <c r="AC33" i="1" s="1"/>
  <c r="AF31" i="1"/>
  <c r="AF33" i="1" s="1"/>
  <c r="T31" i="1"/>
  <c r="T33" i="1" s="1"/>
  <c r="AL31" i="1"/>
  <c r="Z31" i="1"/>
  <c r="AI31" i="1"/>
  <c r="W31" i="1"/>
  <c r="P31" i="1"/>
  <c r="Q31" i="1"/>
  <c r="J63" i="2"/>
  <c r="H38" i="2"/>
  <c r="J38" i="2" s="1"/>
  <c r="E72" i="2"/>
  <c r="E73" i="2" s="1"/>
  <c r="F40" i="2" l="1"/>
  <c r="F67" i="2" s="1"/>
  <c r="G8" i="2" s="1"/>
  <c r="G40" i="2" s="1"/>
  <c r="G67" i="2" s="1"/>
  <c r="J8" i="2"/>
  <c r="J40" i="2" s="1"/>
  <c r="F72" i="2" l="1"/>
  <c r="F73" i="2" s="1"/>
  <c r="G72" i="2"/>
  <c r="G73" i="2" s="1"/>
  <c r="H8" i="2"/>
  <c r="H40" i="2" s="1"/>
  <c r="H67" i="2" s="1"/>
  <c r="H72" i="2" l="1"/>
  <c r="H73" i="2" s="1"/>
  <c r="I8" i="2"/>
  <c r="I40" i="2" s="1"/>
  <c r="I67" i="2" s="1"/>
  <c r="I72" i="2" l="1"/>
  <c r="I73" i="2" s="1"/>
  <c r="G31" i="1" l="1"/>
  <c r="H31" i="1" l="1"/>
  <c r="I31" i="1" l="1"/>
  <c r="J31" i="1" l="1"/>
  <c r="K31" i="1" l="1"/>
  <c r="L31" i="1" l="1"/>
  <c r="M31" i="1" l="1"/>
  <c r="Q33" i="1" l="1"/>
  <c r="I33" i="1"/>
  <c r="F33" i="1"/>
  <c r="G33" i="1"/>
  <c r="H33" i="1"/>
  <c r="P66" i="1" l="1"/>
  <c r="K66" i="1" l="1"/>
  <c r="J66" i="1"/>
  <c r="Q66" i="1"/>
  <c r="I66" i="1"/>
  <c r="H66" i="1" l="1"/>
  <c r="O66" i="1" l="1"/>
  <c r="N66" i="1"/>
  <c r="AP66" i="1" s="1"/>
  <c r="M66" i="1"/>
  <c r="L66" i="1" l="1"/>
  <c r="N31" i="1" l="1"/>
  <c r="G4" i="1" l="1"/>
  <c r="J15" i="1"/>
  <c r="G35" i="1" l="1"/>
  <c r="G71" i="1" s="1"/>
  <c r="H4" i="1" s="1"/>
  <c r="J33" i="1"/>
  <c r="V15" i="1"/>
  <c r="AH15" i="1" l="1"/>
  <c r="AH33" i="1" s="1"/>
  <c r="V33" i="1"/>
  <c r="H35" i="1"/>
  <c r="K15" i="1"/>
  <c r="H71" i="1" l="1"/>
  <c r="K33" i="1"/>
  <c r="W15" i="1"/>
  <c r="AI15" i="1" l="1"/>
  <c r="AI33" i="1" s="1"/>
  <c r="W33" i="1"/>
  <c r="I4" i="1"/>
  <c r="I35" i="1" s="1"/>
  <c r="L15" i="1"/>
  <c r="I71" i="1" l="1"/>
  <c r="L33" i="1"/>
  <c r="X15" i="1"/>
  <c r="AJ15" i="1" l="1"/>
  <c r="AJ33" i="1" s="1"/>
  <c r="X33" i="1"/>
  <c r="J4" i="1"/>
  <c r="J35" i="1" s="1"/>
  <c r="J71" i="1" s="1"/>
  <c r="M15" i="1"/>
  <c r="M33" i="1" l="1"/>
  <c r="Y15" i="1"/>
  <c r="AK15" i="1" l="1"/>
  <c r="AK33" i="1" s="1"/>
  <c r="Y33" i="1"/>
  <c r="K4" i="1"/>
  <c r="K35" i="1" s="1"/>
  <c r="N15" i="1"/>
  <c r="K71" i="1" l="1"/>
  <c r="N33" i="1"/>
  <c r="Z15" i="1"/>
  <c r="AL15" i="1" l="1"/>
  <c r="AL33" i="1" s="1"/>
  <c r="Z33" i="1"/>
  <c r="L4" i="1"/>
  <c r="L35" i="1" s="1"/>
  <c r="O15" i="1"/>
  <c r="L71" i="1" l="1"/>
  <c r="O33" i="1"/>
  <c r="AA15" i="1"/>
  <c r="AM15" i="1" l="1"/>
  <c r="AM33" i="1" s="1"/>
  <c r="AA33" i="1"/>
  <c r="M4" i="1"/>
  <c r="M35" i="1" s="1"/>
  <c r="P15" i="1"/>
  <c r="M71" i="1" l="1"/>
  <c r="P33" i="1"/>
  <c r="AB15" i="1"/>
  <c r="AN15" i="1" l="1"/>
  <c r="AN33" i="1" s="1"/>
  <c r="AB33" i="1"/>
  <c r="N4" i="1"/>
  <c r="N35" i="1" s="1"/>
  <c r="N71" i="1" l="1"/>
  <c r="O4" i="1" l="1"/>
  <c r="O35" i="1" s="1"/>
  <c r="O71" i="1" l="1"/>
  <c r="P4" i="1" l="1"/>
  <c r="P35" i="1" s="1"/>
  <c r="P71" i="1" l="1"/>
  <c r="Q4" i="1" l="1"/>
  <c r="Q35" i="1" s="1"/>
  <c r="Q71" i="1" s="1"/>
  <c r="R4" i="1" l="1"/>
  <c r="R35" i="1" s="1"/>
  <c r="R71" i="1" s="1"/>
  <c r="S4" i="1" s="1"/>
  <c r="S35" i="1" s="1"/>
  <c r="S71" i="1" s="1"/>
  <c r="T4" i="1" s="1"/>
  <c r="T35" i="1" s="1"/>
  <c r="T71" i="1" s="1"/>
  <c r="U4" i="1" s="1"/>
  <c r="U35" i="1" s="1"/>
  <c r="U71" i="1" s="1"/>
  <c r="V4" i="1" s="1"/>
  <c r="V35" i="1" s="1"/>
  <c r="V71" i="1" s="1"/>
  <c r="W4" i="1" s="1"/>
  <c r="W35" i="1" s="1"/>
  <c r="W71" i="1" s="1"/>
  <c r="X4" i="1" s="1"/>
  <c r="X35" i="1" s="1"/>
  <c r="X71" i="1" s="1"/>
  <c r="Y4" i="1" s="1"/>
  <c r="Y35" i="1" s="1"/>
  <c r="Y71" i="1" s="1"/>
  <c r="Z4" i="1" s="1"/>
  <c r="Z35" i="1" s="1"/>
  <c r="Z71" i="1" s="1"/>
  <c r="AA4" i="1" s="1"/>
  <c r="AA35" i="1" s="1"/>
  <c r="AA71" i="1" s="1"/>
  <c r="AB4" i="1" s="1"/>
  <c r="AB35" i="1" s="1"/>
  <c r="AB71" i="1" s="1"/>
  <c r="AC4" i="1" s="1"/>
  <c r="AC35" i="1" s="1"/>
  <c r="AC71" i="1" s="1"/>
  <c r="AD4" i="1" l="1"/>
  <c r="AD35" i="1" s="1"/>
  <c r="AD71" i="1" s="1"/>
  <c r="AE4" i="1" s="1"/>
  <c r="AE35" i="1" s="1"/>
  <c r="AE71" i="1" s="1"/>
  <c r="AF4" i="1" s="1"/>
  <c r="AF35" i="1" s="1"/>
  <c r="AF71" i="1" s="1"/>
  <c r="AG4" i="1" s="1"/>
  <c r="AG35" i="1" s="1"/>
  <c r="AG71" i="1" s="1"/>
  <c r="AH4" i="1" s="1"/>
  <c r="AH35" i="1" s="1"/>
  <c r="AH71" i="1" s="1"/>
  <c r="AI4" i="1" s="1"/>
  <c r="AI35" i="1" s="1"/>
  <c r="AI71" i="1" s="1"/>
  <c r="AJ4" i="1" s="1"/>
  <c r="AJ35" i="1" s="1"/>
  <c r="AJ71" i="1" s="1"/>
  <c r="AK4" i="1" s="1"/>
  <c r="AK35" i="1" s="1"/>
  <c r="AK71" i="1" s="1"/>
  <c r="AL4" i="1" s="1"/>
  <c r="AL35" i="1" s="1"/>
  <c r="AL71" i="1" s="1"/>
  <c r="AM4" i="1" s="1"/>
  <c r="AM35" i="1" s="1"/>
  <c r="AM71" i="1" s="1"/>
  <c r="AN4" i="1" s="1"/>
  <c r="AN35" i="1" s="1"/>
  <c r="AN71" i="1" s="1"/>
  <c r="AO4" i="1" s="1"/>
  <c r="AO35" i="1" s="1"/>
  <c r="AO71" i="1" s="1"/>
</calcChain>
</file>

<file path=xl/comments1.xml><?xml version="1.0" encoding="utf-8"?>
<comments xmlns="http://schemas.openxmlformats.org/spreadsheetml/2006/main">
  <authors>
    <author>Rick Folger</author>
    <author>Teresa Bianchi</author>
    <author>Stephanie Lawson</author>
  </authors>
  <commentList>
    <comment ref="F39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3 AHC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iBalance on initial 60kfor LISC MP Grant</t>
        </r>
      </text>
    </comment>
    <comment ref="H39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136 West Ferry Final</t>
        </r>
      </text>
    </comment>
    <comment ref="H42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136 West Ferry Final</t>
        </r>
      </text>
    </comment>
    <comment ref="K42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171 Hastings Final</t>
        </r>
      </text>
    </comment>
    <comment ref="L42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19 Phyllis Final</t>
        </r>
      </text>
    </comment>
    <comment ref="F43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Did we get the initial $60K?</t>
        </r>
      </text>
    </comment>
    <comment ref="G43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Did we get the initial $60K?</t>
        </r>
      </text>
    </comment>
    <comment ref="K43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Masten Final Pymt</t>
        </r>
      </text>
    </comment>
    <comment ref="L43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Masten Final Pymt</t>
        </r>
      </text>
    </comment>
    <comment ref="K49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85 Haven</t>
        </r>
      </text>
    </comment>
    <comment ref="M49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147 Zenner</t>
        </r>
      </text>
    </comment>
    <comment ref="N49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37 Haven</t>
        </r>
      </text>
    </comment>
    <comment ref="O49" authorId="1" shapeId="0">
      <text>
        <r>
          <rPr>
            <b/>
            <sz val="9"/>
            <color indexed="81"/>
            <rFont val="Tahoma"/>
            <charset val="1"/>
          </rPr>
          <t>Teresa Bianchi:</t>
        </r>
        <r>
          <rPr>
            <sz val="9"/>
            <color indexed="81"/>
            <rFont val="Tahoma"/>
            <charset val="1"/>
          </rPr>
          <t xml:space="preserve">
29 Minton</t>
        </r>
      </text>
    </comment>
    <comment ref="K50" authorId="2" shapeId="0">
      <text>
        <r>
          <rPr>
            <b/>
            <sz val="9"/>
            <color indexed="81"/>
            <rFont val="Tahoma"/>
            <charset val="1"/>
          </rPr>
          <t>Stephanie Lawson:</t>
        </r>
        <r>
          <rPr>
            <sz val="9"/>
            <color indexed="81"/>
            <rFont val="Tahoma"/>
            <charset val="1"/>
          </rPr>
          <t xml:space="preserve">
 54 and 56 Lawrence, and 171 Hastings </t>
        </r>
      </text>
    </comment>
    <comment ref="M50" authorId="2" shapeId="0">
      <text>
        <r>
          <rPr>
            <b/>
            <sz val="9"/>
            <color indexed="81"/>
            <rFont val="Tahoma"/>
            <charset val="1"/>
          </rPr>
          <t>Stephanie Lawson:</t>
        </r>
        <r>
          <rPr>
            <sz val="9"/>
            <color indexed="81"/>
            <rFont val="Tahoma"/>
            <charset val="1"/>
          </rPr>
          <t xml:space="preserve">
38 and 40 Winslow, 204 Woodlawn, and 1363 Michigan</t>
        </r>
      </text>
    </comment>
    <comment ref="J53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36 Winslow SONYMA and 40 Winslow SONYMA</t>
        </r>
      </text>
    </comment>
    <comment ref="N53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136 W Ferry SONYMA 33 Brunswick SONYMA 59 Verplanck SONYMA</t>
        </r>
      </text>
    </comment>
    <comment ref="P53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204 Woodlawn SONYMA</t>
        </r>
      </text>
    </comment>
    <comment ref="Q53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423 Busti SONYMA</t>
        </r>
      </text>
    </comment>
    <comment ref="H54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FBCLT Down Payment</t>
        </r>
      </text>
    </comment>
    <comment ref="I54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Balance on134 Woodell 6k and Sale of 73 Barnard</t>
        </r>
      </text>
    </comment>
    <comment ref="J54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Balance on 2486 Linwood</t>
        </r>
      </text>
    </comment>
    <comment ref="K54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73 Barnard</t>
        </r>
      </text>
    </comment>
    <comment ref="L54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FBCLT Balance on 162 and 166 Rose</t>
        </r>
      </text>
    </comment>
    <comment ref="Q54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LHDC 117 Center St</t>
        </r>
      </text>
    </comment>
    <comment ref="F63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54 Lawerence</t>
        </r>
      </text>
    </comment>
    <comment ref="H63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57 Brooklyn</t>
        </r>
      </text>
    </comment>
    <comment ref="I63" authorId="0" shapeId="0">
      <text>
        <r>
          <rPr>
            <b/>
            <sz val="9"/>
            <color indexed="81"/>
            <rFont val="Tahoma"/>
            <charset val="1"/>
          </rPr>
          <t>Rick Folger:</t>
        </r>
        <r>
          <rPr>
            <sz val="9"/>
            <color indexed="81"/>
            <rFont val="Tahoma"/>
            <charset val="1"/>
          </rPr>
          <t xml:space="preserve">
20 Andrews</t>
        </r>
      </text>
    </comment>
  </commentList>
</comments>
</file>

<file path=xl/sharedStrings.xml><?xml version="1.0" encoding="utf-8"?>
<sst xmlns="http://schemas.openxmlformats.org/spreadsheetml/2006/main" count="215" uniqueCount="160">
  <si>
    <t>Habitat For Humanity Buffalo</t>
  </si>
  <si>
    <t>Cash Flow Projection</t>
  </si>
  <si>
    <t xml:space="preserve">Operating </t>
  </si>
  <si>
    <t>Beginning Balance</t>
  </si>
  <si>
    <t>Cash Receipts</t>
  </si>
  <si>
    <t>Operating Receipts:</t>
  </si>
  <si>
    <t>Unrestricted Contributions</t>
  </si>
  <si>
    <t>Fundraising Events</t>
  </si>
  <si>
    <t>Restricted Funding</t>
  </si>
  <si>
    <t>ReStore Contributions</t>
  </si>
  <si>
    <t>Rents &amp; Leases</t>
  </si>
  <si>
    <t>Other Income/ Sales Tax Collected</t>
  </si>
  <si>
    <t>Other Cash Receipts:</t>
  </si>
  <si>
    <t>Mortgages Principle Receipts</t>
  </si>
  <si>
    <t>Third Party Funding (Mortgages)</t>
  </si>
  <si>
    <t>Total Cash Receipts</t>
  </si>
  <si>
    <t>Disbursements</t>
  </si>
  <si>
    <t>Operating Expenses:</t>
  </si>
  <si>
    <t>Payroll</t>
  </si>
  <si>
    <t>Facilities</t>
  </si>
  <si>
    <t>Tithes &amp; Affiliate Fees</t>
  </si>
  <si>
    <t>Insurance</t>
  </si>
  <si>
    <t>Vehicle</t>
  </si>
  <si>
    <t>Supplies &amp; Equipment</t>
  </si>
  <si>
    <t>Neighborhood Revitilization (Critical Home Repair)</t>
  </si>
  <si>
    <t>Other Operating Expenses</t>
  </si>
  <si>
    <t>Other Cash Disbursements:</t>
  </si>
  <si>
    <t xml:space="preserve"> </t>
  </si>
  <si>
    <t>Capital Projects</t>
  </si>
  <si>
    <t>Sales Tax</t>
  </si>
  <si>
    <t>Interest</t>
  </si>
  <si>
    <t>Total Disbursements</t>
  </si>
  <si>
    <t>Operating Surplus/Deficit</t>
  </si>
  <si>
    <t>Ending Balance Before Homebuilding Activity</t>
  </si>
  <si>
    <t>Homebuilding Program</t>
  </si>
  <si>
    <t>AHC Grant</t>
  </si>
  <si>
    <t>FHLB Grant</t>
  </si>
  <si>
    <t>ESD Acquisition</t>
  </si>
  <si>
    <t>ESD Construction</t>
  </si>
  <si>
    <t>National Fuel</t>
  </si>
  <si>
    <t>LISC</t>
  </si>
  <si>
    <t>Restricted Contributions (includes all home sponsors)</t>
  </si>
  <si>
    <t>KRAMBO</t>
  </si>
  <si>
    <t>DISBURSEMENTS</t>
  </si>
  <si>
    <t>Acquisitions</t>
  </si>
  <si>
    <t>Construction In Progress</t>
  </si>
  <si>
    <t>CIP Labor</t>
  </si>
  <si>
    <t>Closing Cost Funding To Homeowners</t>
  </si>
  <si>
    <t>Grant Fees</t>
  </si>
  <si>
    <t>Homebuilding Surplus/Deficit</t>
  </si>
  <si>
    <t xml:space="preserve">Draw/Paydown Line of Credit </t>
  </si>
  <si>
    <t>Ending Operating Account after Homebuilding Activity</t>
  </si>
  <si>
    <t>Cash On Hand:</t>
  </si>
  <si>
    <t>Landmark Account</t>
  </si>
  <si>
    <t>M&amp;T MM Account</t>
  </si>
  <si>
    <t>Total Available Funding</t>
  </si>
  <si>
    <t>Key Bank LOC (Increase to $750k)</t>
  </si>
  <si>
    <t>1</t>
  </si>
  <si>
    <t>2</t>
  </si>
  <si>
    <t>3</t>
  </si>
  <si>
    <t>4</t>
  </si>
  <si>
    <t>554 Shirley, 56 Wende</t>
  </si>
  <si>
    <t>6 Rentals + 1 Roof = $3380.00</t>
  </si>
  <si>
    <t>Weekly + Monthly Americore</t>
  </si>
  <si>
    <t>Lots, Rehabs (to be reimbursed through ESD)</t>
  </si>
  <si>
    <t xml:space="preserve">Closing Costs </t>
  </si>
  <si>
    <t>Operating Account</t>
  </si>
  <si>
    <t>Total</t>
  </si>
  <si>
    <t>Four Week Look Out</t>
  </si>
  <si>
    <t>Beginning Balance Operating</t>
  </si>
  <si>
    <t>IUE</t>
  </si>
  <si>
    <t>Traveler's 10k, Uniland 5k</t>
  </si>
  <si>
    <t>Back to Basics, &amp; BofA Foundation</t>
  </si>
  <si>
    <t>Mortgage Payoff 53k</t>
  </si>
  <si>
    <t>148 Laird</t>
  </si>
  <si>
    <t>89k in open PO's: Franks Basement 17k,</t>
  </si>
  <si>
    <t xml:space="preserve">        HDI Build 8k, Four Brothers 11k AJ trees6k, Larwence 15k</t>
  </si>
  <si>
    <t xml:space="preserve">11.18 to 12.14 </t>
  </si>
  <si>
    <t>Rents &amp; Buy-ups</t>
  </si>
  <si>
    <t>Direct Labor</t>
  </si>
  <si>
    <t>Homebuilding Contributions</t>
  </si>
  <si>
    <t>Contributions</t>
  </si>
  <si>
    <t>Financing Activity</t>
  </si>
  <si>
    <t>Key Bank LOC ($750k)</t>
  </si>
  <si>
    <t>Cash from Borrowing Activities</t>
  </si>
  <si>
    <t>Third Party Funding/Sale of Mortgages</t>
  </si>
  <si>
    <t>FYE21</t>
  </si>
  <si>
    <t>Cash Projection</t>
  </si>
  <si>
    <t>FYE22</t>
  </si>
  <si>
    <t xml:space="preserve">Repair Program </t>
  </si>
  <si>
    <t>Employee Benefits</t>
  </si>
  <si>
    <t xml:space="preserve">Payroll Taxes </t>
  </si>
  <si>
    <t>Worker Comp Insurance</t>
  </si>
  <si>
    <t>SONYMA at Closing</t>
  </si>
  <si>
    <t>Partner Agency Sales</t>
  </si>
  <si>
    <t>Cash from Sale of Mortgages</t>
  </si>
  <si>
    <t>Grants (AHC,FHLB,LISC,NtlFuel,COB-ESD, LISC-MP)</t>
  </si>
  <si>
    <t>Payroll (Non CIP)</t>
  </si>
  <si>
    <t>Grants</t>
  </si>
  <si>
    <t>Capacity Building Grant ($47,500 yr.1)</t>
  </si>
  <si>
    <t>LISC National</t>
  </si>
  <si>
    <t>LISC WYN (Masten)</t>
  </si>
  <si>
    <t>FHLB 2018 Award (10 houses less Poultney)</t>
  </si>
  <si>
    <t>FHLB 2020 Award (10 - only 5  FY22)</t>
  </si>
  <si>
    <t>AHC NB21 (not yet awarded - guess for FY22)</t>
  </si>
  <si>
    <t>AHC HNYS Rehab (6 Total)</t>
  </si>
  <si>
    <t>ESD</t>
  </si>
  <si>
    <t>FYE23</t>
  </si>
  <si>
    <t>FYE24</t>
  </si>
  <si>
    <t>5% increase annually</t>
  </si>
  <si>
    <t>11.5 % of payroll</t>
  </si>
  <si>
    <t>Increase 3% annually, one additioanl FTE in Repair Program</t>
  </si>
  <si>
    <t>15 Project FY22, 20 FY23, 25 FY24</t>
  </si>
  <si>
    <t>Increase 3% annually</t>
  </si>
  <si>
    <t>5% annual Invcrease</t>
  </si>
  <si>
    <t>Selling 15 homes per year avg 6k closing costs</t>
  </si>
  <si>
    <t>2 closings per FY at average sale price of 150</t>
  </si>
  <si>
    <t xml:space="preserve">15 Sales per year </t>
  </si>
  <si>
    <t>6 closings per FY at average sale price of 150</t>
  </si>
  <si>
    <t xml:space="preserve">13 closings per FY at average sale price of 150 with AHC, </t>
  </si>
  <si>
    <t>LISC ends during FY22</t>
  </si>
  <si>
    <t>LISC WNY ends during FY22/23</t>
  </si>
  <si>
    <t>15 Projects in FY22, 20 Projects in FY23, 25 Projects in FY24</t>
  </si>
  <si>
    <t>Same as prior years</t>
  </si>
  <si>
    <t>Increase 5% annually</t>
  </si>
  <si>
    <t>13 Acquisitons per year at 18k each</t>
  </si>
  <si>
    <t>Cash Flow Assumptions</t>
  </si>
  <si>
    <t xml:space="preserve">Average CIP Cash : </t>
  </si>
  <si>
    <t xml:space="preserve">Acquistion </t>
  </si>
  <si>
    <t>Sticks &amp; Bricks</t>
  </si>
  <si>
    <t>Construction Overhead</t>
  </si>
  <si>
    <t>Direct Labor Benefits and WC</t>
  </si>
  <si>
    <t>Two to Partner Agency</t>
  </si>
  <si>
    <t>Six through SONYMA at table</t>
  </si>
  <si>
    <t>6 FY22 then 4 and 4</t>
  </si>
  <si>
    <t>Seven we hold and add to our portfolio</t>
  </si>
  <si>
    <t>Leaveraging 8 sales</t>
  </si>
  <si>
    <t>Adding $411 per month per mortgage, approx $1,050,000 per year to balance sheet pre amortization</t>
  </si>
  <si>
    <t xml:space="preserve">Grants per home </t>
  </si>
  <si>
    <t>No additonal FHLB (currelntly closing out 2018 award and 2020 award) 15 homes at 30k each</t>
  </si>
  <si>
    <t>No additional ESD grants ( Currently 145k)</t>
  </si>
  <si>
    <t>AHC newbuild Grants 19 at 30k each over next 3 years</t>
  </si>
  <si>
    <t>AHC receivable from 2019 grants 56k</t>
  </si>
  <si>
    <t>AHC rehab Grants 10 at 28k each over next 3 years</t>
  </si>
  <si>
    <t>National Fuels grant at 137k over next 3 years</t>
  </si>
  <si>
    <t>Completion of committed purchase of mortgages to Northwest Bank net 840k net (1.1million face)</t>
  </si>
  <si>
    <t xml:space="preserve">12 Houses FY22 then 15 Houses per year at 140k per year + 20k OH each </t>
  </si>
  <si>
    <t>Selling 15 homes per year average sale price 150k (3 in invetory plus 12 builds in FY22, 15 in each of FY23,FY24</t>
  </si>
  <si>
    <t>AHC HNY Current Left 2 left</t>
  </si>
  <si>
    <t>Completing 12 Homes (C of O) in FY22  then 15 homes per year FY23,24</t>
  </si>
  <si>
    <t>Pushed back time line to November 21 start</t>
  </si>
  <si>
    <t>18 total</t>
  </si>
  <si>
    <t>JULY 1, 2021 to JUNE 30, 2023</t>
  </si>
  <si>
    <t>per development department projection</t>
  </si>
  <si>
    <t>7 new mortgages to portfolio per FY</t>
  </si>
  <si>
    <t>To be determined</t>
  </si>
  <si>
    <t>5% increase per FY</t>
  </si>
  <si>
    <t>No additonal LISC grants (84k for LISC local Masten Park Grant and 35k for National NCST)</t>
  </si>
  <si>
    <t>TOTAL Cash to CIP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</si>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</sst>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CC"/>
      <name val="Arial"/>
      <family val="2"/>
    </font>
    <font>
      <sz val="18"/>
      <color theme="1"/>
      <name val="Arial"/>
      <family val="2"/>
    </font>
    <font>
      <b/>
      <sz val="18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164" fontId="3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4" fillId="0" borderId="0" xfId="1" applyNumberFormat="1" applyFont="1"/>
    <xf numFmtId="164" fontId="5" fillId="0" borderId="0" xfId="1" applyNumberFormat="1" applyFont="1"/>
    <xf numFmtId="165" fontId="2" fillId="0" borderId="0" xfId="1" applyNumberFormat="1" applyFont="1" applyAlignment="1">
      <alignment horizontal="center"/>
    </xf>
    <xf numFmtId="165" fontId="5" fillId="4" borderId="0" xfId="1" applyNumberFormat="1" applyFont="1" applyFill="1" applyAlignment="1">
      <alignment horizontal="center"/>
    </xf>
    <xf numFmtId="165" fontId="3" fillId="0" borderId="0" xfId="1" applyNumberFormat="1" applyFont="1"/>
    <xf numFmtId="164" fontId="6" fillId="5" borderId="0" xfId="1" applyNumberFormat="1" applyFont="1" applyFill="1" applyAlignment="1">
      <alignment horizontal="left"/>
    </xf>
    <xf numFmtId="164" fontId="2" fillId="5" borderId="0" xfId="1" applyNumberFormat="1" applyFont="1" applyFill="1" applyAlignment="1">
      <alignment horizontal="center"/>
    </xf>
    <xf numFmtId="164" fontId="2" fillId="0" borderId="0" xfId="1" applyNumberFormat="1" applyFont="1"/>
    <xf numFmtId="164" fontId="2" fillId="0" borderId="1" xfId="1" applyNumberFormat="1" applyFont="1" applyBorder="1"/>
    <xf numFmtId="164" fontId="2" fillId="6" borderId="1" xfId="1" applyNumberFormat="1" applyFont="1" applyFill="1" applyBorder="1"/>
    <xf numFmtId="164" fontId="7" fillId="0" borderId="0" xfId="1" applyNumberFormat="1" applyFont="1"/>
    <xf numFmtId="164" fontId="5" fillId="6" borderId="0" xfId="1" applyNumberFormat="1" applyFont="1" applyFill="1"/>
    <xf numFmtId="164" fontId="5" fillId="0" borderId="0" xfId="1" applyNumberFormat="1" applyFont="1" applyFill="1"/>
    <xf numFmtId="164" fontId="8" fillId="0" borderId="0" xfId="1" applyNumberFormat="1" applyFont="1"/>
    <xf numFmtId="164" fontId="9" fillId="6" borderId="0" xfId="1" applyNumberFormat="1" applyFont="1" applyFill="1"/>
    <xf numFmtId="164" fontId="9" fillId="0" borderId="0" xfId="1" applyNumberFormat="1" applyFont="1" applyFill="1"/>
    <xf numFmtId="164" fontId="9" fillId="0" borderId="0" xfId="1" applyNumberFormat="1" applyFont="1"/>
    <xf numFmtId="164" fontId="2" fillId="0" borderId="0" xfId="1" applyNumberFormat="1" applyFont="1" applyAlignment="1">
      <alignment horizontal="left" indent="3"/>
    </xf>
    <xf numFmtId="164" fontId="2" fillId="0" borderId="1" xfId="1" applyNumberFormat="1" applyFont="1" applyFill="1" applyBorder="1"/>
    <xf numFmtId="164" fontId="5" fillId="4" borderId="0" xfId="1" applyNumberFormat="1" applyFont="1" applyFill="1"/>
    <xf numFmtId="164" fontId="5" fillId="0" borderId="0" xfId="1" applyNumberFormat="1" applyFont="1" applyAlignment="1">
      <alignment horizontal="left"/>
    </xf>
    <xf numFmtId="164" fontId="8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2" fillId="0" borderId="0" xfId="1" applyNumberFormat="1" applyFont="1" applyAlignment="1">
      <alignment horizontal="left" indent="1"/>
    </xf>
    <xf numFmtId="164" fontId="2" fillId="4" borderId="0" xfId="1" applyNumberFormat="1" applyFont="1" applyFill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10" fillId="0" borderId="2" xfId="1" applyNumberFormat="1" applyFont="1" applyBorder="1"/>
    <xf numFmtId="164" fontId="10" fillId="0" borderId="2" xfId="1" applyNumberFormat="1" applyFont="1" applyFill="1" applyBorder="1"/>
    <xf numFmtId="164" fontId="2" fillId="0" borderId="0" xfId="1" applyNumberFormat="1" applyFont="1" applyFill="1"/>
    <xf numFmtId="164" fontId="6" fillId="3" borderId="0" xfId="1" applyNumberFormat="1" applyFont="1" applyFill="1"/>
    <xf numFmtId="164" fontId="5" fillId="3" borderId="0" xfId="1" applyNumberFormat="1" applyFont="1" applyFill="1"/>
    <xf numFmtId="164" fontId="10" fillId="0" borderId="1" xfId="1" applyNumberFormat="1" applyFont="1" applyBorder="1"/>
    <xf numFmtId="164" fontId="10" fillId="0" borderId="1" xfId="1" applyNumberFormat="1" applyFont="1" applyFill="1" applyBorder="1"/>
    <xf numFmtId="164" fontId="9" fillId="4" borderId="0" xfId="1" applyNumberFormat="1" applyFont="1" applyFill="1"/>
    <xf numFmtId="164" fontId="2" fillId="0" borderId="0" xfId="1" applyNumberFormat="1" applyFont="1" applyBorder="1"/>
    <xf numFmtId="164" fontId="2" fillId="0" borderId="0" xfId="1" applyNumberFormat="1" applyFont="1" applyAlignment="1">
      <alignment horizontal="left" indent="5"/>
    </xf>
    <xf numFmtId="164" fontId="5" fillId="0" borderId="0" xfId="1" applyNumberFormat="1" applyFont="1" applyAlignment="1">
      <alignment horizontal="left" indent="5"/>
    </xf>
    <xf numFmtId="164" fontId="2" fillId="0" borderId="0" xfId="1" applyNumberFormat="1" applyFont="1" applyAlignment="1">
      <alignment horizontal="left"/>
    </xf>
    <xf numFmtId="164" fontId="2" fillId="0" borderId="2" xfId="1" applyNumberFormat="1" applyFont="1" applyBorder="1"/>
    <xf numFmtId="164" fontId="2" fillId="0" borderId="2" xfId="1" applyNumberFormat="1" applyFont="1" applyFill="1" applyBorder="1"/>
    <xf numFmtId="164" fontId="11" fillId="0" borderId="0" xfId="1" applyNumberFormat="1" applyFont="1" applyAlignment="1">
      <alignment horizontal="right"/>
    </xf>
    <xf numFmtId="164" fontId="12" fillId="0" borderId="0" xfId="1" applyNumberFormat="1" applyFont="1"/>
    <xf numFmtId="164" fontId="12" fillId="0" borderId="0" xfId="1" applyNumberFormat="1" applyFont="1" applyFill="1"/>
    <xf numFmtId="164" fontId="13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right"/>
    </xf>
    <xf numFmtId="164" fontId="7" fillId="0" borderId="3" xfId="1" applyNumberFormat="1" applyFont="1" applyBorder="1"/>
    <xf numFmtId="164" fontId="7" fillId="0" borderId="3" xfId="1" applyNumberFormat="1" applyFont="1" applyFill="1" applyBorder="1"/>
    <xf numFmtId="164" fontId="5" fillId="0" borderId="0" xfId="1" applyNumberFormat="1" applyFont="1" applyFill="1" applyAlignment="1">
      <alignment horizontal="right"/>
    </xf>
    <xf numFmtId="165" fontId="5" fillId="4" borderId="0" xfId="1" quotePrefix="1" applyNumberFormat="1" applyFont="1" applyFill="1" applyAlignment="1">
      <alignment horizontal="center"/>
    </xf>
    <xf numFmtId="164" fontId="7" fillId="0" borderId="0" xfId="1" applyNumberFormat="1" applyFont="1" applyBorder="1"/>
    <xf numFmtId="164" fontId="14" fillId="0" borderId="0" xfId="1" applyNumberFormat="1" applyFont="1" applyAlignment="1">
      <alignment horizontal="center"/>
    </xf>
    <xf numFmtId="164" fontId="14" fillId="0" borderId="0" xfId="1" applyNumberFormat="1" applyFont="1" applyFill="1" applyAlignment="1">
      <alignment horizontal="center"/>
    </xf>
    <xf numFmtId="164" fontId="15" fillId="0" borderId="0" xfId="1" applyNumberFormat="1" applyFont="1"/>
    <xf numFmtId="164" fontId="14" fillId="0" borderId="0" xfId="1" applyNumberFormat="1" applyFont="1"/>
    <xf numFmtId="164" fontId="18" fillId="0" borderId="0" xfId="1" applyNumberFormat="1" applyFont="1"/>
    <xf numFmtId="164" fontId="15" fillId="0" borderId="0" xfId="1" applyNumberFormat="1" applyFont="1" applyBorder="1"/>
    <xf numFmtId="165" fontId="5" fillId="4" borderId="4" xfId="1" quotePrefix="1" applyNumberFormat="1" applyFont="1" applyFill="1" applyBorder="1" applyAlignment="1">
      <alignment horizontal="center"/>
    </xf>
    <xf numFmtId="164" fontId="2" fillId="5" borderId="4" xfId="1" applyNumberFormat="1" applyFont="1" applyFill="1" applyBorder="1" applyAlignment="1">
      <alignment horizontal="center"/>
    </xf>
    <xf numFmtId="164" fontId="2" fillId="0" borderId="5" xfId="1" applyNumberFormat="1" applyFont="1" applyBorder="1"/>
    <xf numFmtId="164" fontId="5" fillId="0" borderId="4" xfId="1" applyNumberFormat="1" applyFont="1" applyBorder="1"/>
    <xf numFmtId="164" fontId="9" fillId="0" borderId="4" xfId="1" applyNumberFormat="1" applyFont="1" applyBorder="1"/>
    <xf numFmtId="164" fontId="5" fillId="0" borderId="4" xfId="1" applyNumberFormat="1" applyFont="1" applyFill="1" applyBorder="1"/>
    <xf numFmtId="164" fontId="2" fillId="0" borderId="4" xfId="1" applyNumberFormat="1" applyFont="1" applyBorder="1"/>
    <xf numFmtId="164" fontId="10" fillId="0" borderId="6" xfId="1" applyNumberFormat="1" applyFont="1" applyBorder="1"/>
    <xf numFmtId="164" fontId="5" fillId="3" borderId="4" xfId="1" applyNumberFormat="1" applyFont="1" applyFill="1" applyBorder="1"/>
    <xf numFmtId="164" fontId="10" fillId="0" borderId="5" xfId="1" applyNumberFormat="1" applyFont="1" applyBorder="1"/>
    <xf numFmtId="164" fontId="9" fillId="0" borderId="4" xfId="1" applyNumberFormat="1" applyFont="1" applyFill="1" applyBorder="1"/>
    <xf numFmtId="164" fontId="14" fillId="2" borderId="7" xfId="1" applyNumberFormat="1" applyFont="1" applyFill="1" applyBorder="1" applyAlignment="1">
      <alignment horizontal="center"/>
    </xf>
    <xf numFmtId="165" fontId="15" fillId="4" borderId="0" xfId="1" quotePrefix="1" applyNumberFormat="1" applyFont="1" applyFill="1" applyBorder="1" applyAlignment="1">
      <alignment horizontal="center"/>
    </xf>
    <xf numFmtId="165" fontId="3" fillId="0" borderId="8" xfId="1" applyNumberFormat="1" applyFont="1" applyBorder="1"/>
    <xf numFmtId="164" fontId="14" fillId="5" borderId="9" xfId="1" applyNumberFormat="1" applyFont="1" applyFill="1" applyBorder="1" applyAlignment="1">
      <alignment horizontal="center"/>
    </xf>
    <xf numFmtId="164" fontId="14" fillId="0" borderId="10" xfId="1" applyNumberFormat="1" applyFont="1" applyBorder="1"/>
    <xf numFmtId="164" fontId="15" fillId="0" borderId="9" xfId="1" applyNumberFormat="1" applyFont="1" applyBorder="1"/>
    <xf numFmtId="164" fontId="16" fillId="0" borderId="9" xfId="1" applyNumberFormat="1" applyFont="1" applyBorder="1"/>
    <xf numFmtId="164" fontId="15" fillId="0" borderId="9" xfId="1" applyNumberFormat="1" applyFont="1" applyFill="1" applyBorder="1"/>
    <xf numFmtId="164" fontId="14" fillId="0" borderId="9" xfId="1" applyNumberFormat="1" applyFont="1" applyBorder="1"/>
    <xf numFmtId="164" fontId="17" fillId="0" borderId="11" xfId="1" applyNumberFormat="1" applyFont="1" applyBorder="1"/>
    <xf numFmtId="164" fontId="15" fillId="3" borderId="9" xfId="1" applyNumberFormat="1" applyFont="1" applyFill="1" applyBorder="1"/>
    <xf numFmtId="164" fontId="17" fillId="0" borderId="10" xfId="1" applyNumberFormat="1" applyFont="1" applyBorder="1"/>
    <xf numFmtId="164" fontId="15" fillId="0" borderId="12" xfId="1" applyNumberFormat="1" applyFont="1" applyBorder="1"/>
    <xf numFmtId="14" fontId="5" fillId="4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left"/>
    </xf>
    <xf numFmtId="165" fontId="2" fillId="4" borderId="0" xfId="1" applyNumberFormat="1" applyFont="1" applyFill="1" applyAlignment="1">
      <alignment horizontal="center"/>
    </xf>
    <xf numFmtId="165" fontId="8" fillId="0" borderId="0" xfId="1" applyNumberFormat="1" applyFont="1"/>
    <xf numFmtId="164" fontId="2" fillId="7" borderId="0" xfId="1" applyNumberFormat="1" applyFont="1" applyFill="1"/>
    <xf numFmtId="164" fontId="5" fillId="7" borderId="0" xfId="1" applyNumberFormat="1" applyFont="1" applyFill="1"/>
    <xf numFmtId="164" fontId="5" fillId="0" borderId="13" xfId="1" applyNumberFormat="1" applyFont="1" applyFill="1" applyBorder="1"/>
    <xf numFmtId="164" fontId="5" fillId="0" borderId="14" xfId="1" applyNumberFormat="1" applyFont="1" applyFill="1" applyBorder="1"/>
    <xf numFmtId="164" fontId="19" fillId="0" borderId="0" xfId="1" applyNumberFormat="1" applyFont="1"/>
    <xf numFmtId="164" fontId="20" fillId="0" borderId="0" xfId="1" applyNumberFormat="1" applyFont="1"/>
    <xf numFmtId="164" fontId="20" fillId="0" borderId="0" xfId="1" applyNumberFormat="1" applyFont="1" applyFill="1" applyAlignment="1"/>
    <xf numFmtId="164" fontId="5" fillId="8" borderId="0" xfId="1" applyNumberFormat="1" applyFont="1" applyFill="1"/>
    <xf numFmtId="164" fontId="5" fillId="8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 indent="1"/>
    </xf>
    <xf numFmtId="164" fontId="6" fillId="0" borderId="0" xfId="1" applyNumberFormat="1" applyFont="1" applyFill="1" applyAlignment="1">
      <alignment horizontal="right"/>
    </xf>
    <xf numFmtId="164" fontId="20" fillId="0" borderId="1" xfId="1" applyNumberFormat="1" applyFont="1" applyBorder="1"/>
    <xf numFmtId="164" fontId="19" fillId="0" borderId="0" xfId="1" applyNumberFormat="1" applyFont="1" applyFill="1"/>
    <xf numFmtId="164" fontId="23" fillId="0" borderId="0" xfId="1" applyNumberFormat="1" applyFont="1"/>
    <xf numFmtId="164" fontId="24" fillId="0" borderId="0" xfId="1" applyNumberFormat="1" applyFont="1"/>
    <xf numFmtId="164" fontId="24" fillId="0" borderId="0" xfId="1" applyNumberFormat="1" applyFont="1" applyFill="1"/>
    <xf numFmtId="164" fontId="25" fillId="0" borderId="1" xfId="1" applyNumberFormat="1" applyFont="1" applyBorder="1"/>
    <xf numFmtId="164" fontId="6" fillId="0" borderId="0" xfId="1" applyNumberFormat="1" applyFont="1" applyFill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/>
    <xf numFmtId="164" fontId="27" fillId="0" borderId="0" xfId="1" applyNumberFormat="1" applyFont="1"/>
    <xf numFmtId="166" fontId="27" fillId="0" borderId="0" xfId="2" applyNumberFormat="1" applyFont="1"/>
    <xf numFmtId="166" fontId="26" fillId="0" borderId="0" xfId="0" applyNumberFormat="1" applyFont="1" applyAlignment="1">
      <alignment vertical="center"/>
    </xf>
    <xf numFmtId="164" fontId="28" fillId="0" borderId="0" xfId="1" applyNumberFormat="1" applyFont="1"/>
    <xf numFmtId="164" fontId="20" fillId="0" borderId="2" xfId="1" applyNumberFormat="1" applyFont="1" applyBorder="1"/>
    <xf numFmtId="164" fontId="25" fillId="0" borderId="2" xfId="1" applyNumberFormat="1" applyFont="1" applyBorder="1"/>
    <xf numFmtId="0" fontId="29" fillId="0" borderId="0" xfId="0" applyFont="1" applyAlignment="1">
      <alignment vertical="center"/>
    </xf>
    <xf numFmtId="164" fontId="27" fillId="0" borderId="0" xfId="1" applyNumberFormat="1" applyFont="1" applyAlignment="1">
      <alignment wrapText="1"/>
    </xf>
    <xf numFmtId="164" fontId="27" fillId="0" borderId="0" xfId="1" applyNumberFormat="1" applyFont="1" applyAlignment="1">
      <alignment vertical="top"/>
    </xf>
    <xf numFmtId="164" fontId="2" fillId="0" borderId="15" xfId="1" applyNumberFormat="1" applyFont="1" applyFill="1" applyBorder="1" applyAlignment="1">
      <alignment horizontal="center"/>
    </xf>
    <xf numFmtId="164" fontId="20" fillId="0" borderId="0" xfId="1" applyNumberFormat="1" applyFont="1" applyFill="1"/>
    <xf numFmtId="164" fontId="25" fillId="0" borderId="0" xfId="1" applyNumberFormat="1" applyFont="1" applyFill="1"/>
    <xf numFmtId="164" fontId="24" fillId="0" borderId="0" xfId="1" applyNumberFormat="1" applyFont="1" applyFill="1" applyBorder="1"/>
    <xf numFmtId="164" fontId="19" fillId="0" borderId="0" xfId="1" applyNumberFormat="1" applyFont="1" applyFill="1" applyBorder="1"/>
    <xf numFmtId="3" fontId="2" fillId="0" borderId="15" xfId="0" applyNumberFormat="1" applyFont="1" applyBorder="1" applyAlignment="1">
      <alignment vertical="center"/>
    </xf>
    <xf numFmtId="164" fontId="30" fillId="0" borderId="0" xfId="1" applyNumberFormat="1" applyFont="1"/>
    <xf numFmtId="164" fontId="31" fillId="0" borderId="0" xfId="1" applyNumberFormat="1" applyFont="1" applyAlignment="1">
      <alignment horizontal="left"/>
    </xf>
    <xf numFmtId="164" fontId="19" fillId="0" borderId="0" xfId="1" applyNumberFormat="1" applyFont="1" applyBorder="1"/>
    <xf numFmtId="164" fontId="19" fillId="8" borderId="0" xfId="1" applyNumberFormat="1" applyFont="1" applyFill="1"/>
    <xf numFmtId="164" fontId="20" fillId="0" borderId="1" xfId="1" applyNumberFormat="1" applyFont="1" applyFill="1" applyBorder="1"/>
    <xf numFmtId="164" fontId="24" fillId="8" borderId="0" xfId="1" applyNumberFormat="1" applyFont="1" applyFill="1"/>
    <xf numFmtId="164" fontId="25" fillId="0" borderId="1" xfId="1" applyNumberFormat="1" applyFont="1" applyFill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 vertical="center" wrapText="1"/>
    </xf>
    <xf numFmtId="164" fontId="2" fillId="3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4" fontId="2" fillId="9" borderId="0" xfId="1" applyNumberFormat="1" applyFont="1" applyFill="1" applyAlignment="1">
      <alignment horizontal="center"/>
    </xf>
    <xf numFmtId="164" fontId="27" fillId="0" borderId="0" xfId="1" applyNumberFormat="1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bitatserver\Company\WIP\Bethany%20Meegan%20WIP\18%20Month%20Cash%20Flow%20Supporting%20Workhseet%20Reven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bitatserver\Company\WIP\Bethany%20Meegan%20WIP\2019.20%20FY%20Budget%20Template%20FY%2019.20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bitatserver\Company\WIP\Bethany%20Meegan%20WIP\2019.%2029.19%20Cash%20Flow%20By%20Proper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Budget"/>
      <sheetName val="Restricted To Construction"/>
      <sheetName val="Restricted Neighborhood Rev."/>
      <sheetName val="Restricted Family Services"/>
      <sheetName val="Unrestricted Contributions"/>
      <sheetName val="Fundraising Events"/>
    </sheetNames>
    <sheetDataSet>
      <sheetData sheetId="0" refreshError="1"/>
      <sheetData sheetId="1" refreshError="1">
        <row r="13">
          <cell r="P13"/>
        </row>
        <row r="70">
          <cell r="F70"/>
          <cell r="H70"/>
          <cell r="I70"/>
        </row>
        <row r="71">
          <cell r="F71">
            <v>0</v>
          </cell>
          <cell r="G71">
            <v>0</v>
          </cell>
        </row>
        <row r="72">
          <cell r="F72"/>
          <cell r="G72"/>
          <cell r="H72"/>
          <cell r="I72"/>
        </row>
      </sheetData>
      <sheetData sheetId="2" refreshError="1">
        <row r="71">
          <cell r="G71">
            <v>0</v>
          </cell>
          <cell r="H71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 for Committee"/>
      <sheetName val="Consolidated Budget"/>
      <sheetName val="Construction"/>
      <sheetName val="Family Serv."/>
      <sheetName val="Mortgage Serv."/>
      <sheetName val="ReStore N"/>
      <sheetName val="ReStore S"/>
      <sheetName val="Admin"/>
      <sheetName val="Development"/>
      <sheetName val="Sheet1"/>
    </sheetNames>
    <sheetDataSet>
      <sheetData sheetId="0" refreshError="1"/>
      <sheetData sheetId="1" refreshError="1">
        <row r="13">
          <cell r="N13">
            <v>2000</v>
          </cell>
        </row>
        <row r="21">
          <cell r="P21">
            <v>0</v>
          </cell>
          <cell r="S21">
            <v>0</v>
          </cell>
        </row>
        <row r="78">
          <cell r="M78">
            <v>16064.9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Costs"/>
      <sheetName val="Construction"/>
      <sheetName val="Acquisition"/>
      <sheetName val="FY 19.20 (2)"/>
    </sheetNames>
    <sheetDataSet>
      <sheetData sheetId="0" refreshError="1">
        <row r="44">
          <cell r="H44">
            <v>0</v>
          </cell>
        </row>
      </sheetData>
      <sheetData sheetId="1" refreshError="1"/>
      <sheetData sheetId="2" refreshError="1">
        <row r="43">
          <cell r="I43">
            <v>0</v>
          </cell>
          <cell r="J43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zoomScaleNormal="100" zoomScaleSheetLayoutView="85" workbookViewId="0">
      <pane xSplit="3" ySplit="6" topLeftCell="E20" activePane="bottomRight" state="frozen"/>
      <selection pane="topRight" activeCell="C1" sqref="C1"/>
      <selection pane="bottomLeft" activeCell="A7" sqref="A7"/>
      <selection pane="bottomRight" activeCell="F31" sqref="F31"/>
    </sheetView>
  </sheetViews>
  <sheetFormatPr defaultColWidth="9.109375" defaultRowHeight="15.6" x14ac:dyDescent="0.3"/>
  <cols>
    <col min="1" max="2" width="1.6640625" style="10" customWidth="1"/>
    <col min="3" max="3" width="50.44140625" style="4" bestFit="1" customWidth="1"/>
    <col min="4" max="4" width="11.6640625" style="4" hidden="1" customWidth="1"/>
    <col min="5" max="9" width="11.6640625" style="4" customWidth="1"/>
    <col min="10" max="10" width="11.6640625" style="59" customWidth="1"/>
    <col min="11" max="11" width="58.88671875" style="1" bestFit="1" customWidth="1"/>
    <col min="12" max="16384" width="9.109375" style="1"/>
  </cols>
  <sheetData>
    <row r="1" spans="1:11" x14ac:dyDescent="0.3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57"/>
    </row>
    <row r="2" spans="1:11" x14ac:dyDescent="0.3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57"/>
    </row>
    <row r="3" spans="1:11" x14ac:dyDescent="0.3">
      <c r="A3" s="137" t="s">
        <v>68</v>
      </c>
      <c r="B3" s="137"/>
      <c r="C3" s="137"/>
      <c r="D3" s="137"/>
      <c r="E3" s="137"/>
      <c r="F3" s="137"/>
      <c r="G3" s="137"/>
      <c r="H3" s="137"/>
      <c r="I3" s="137"/>
      <c r="J3" s="57"/>
    </row>
    <row r="4" spans="1:11" ht="12" customHeight="1" x14ac:dyDescent="0.3">
      <c r="A4" s="138"/>
      <c r="B4" s="138"/>
      <c r="C4" s="138"/>
      <c r="D4" s="138"/>
      <c r="E4" s="138"/>
      <c r="F4" s="138"/>
      <c r="G4" s="138"/>
      <c r="H4" s="138"/>
      <c r="I4" s="2"/>
      <c r="J4" s="58"/>
    </row>
    <row r="5" spans="1:11" x14ac:dyDescent="0.3">
      <c r="A5" s="3"/>
      <c r="B5" s="3"/>
      <c r="C5" s="3"/>
      <c r="F5" s="139" t="s">
        <v>77</v>
      </c>
      <c r="G5" s="139"/>
      <c r="H5" s="139"/>
      <c r="I5" s="139"/>
      <c r="J5" s="74"/>
    </row>
    <row r="6" spans="1:11" s="7" customFormat="1" ht="15.75" customHeight="1" x14ac:dyDescent="0.3">
      <c r="A6" s="5"/>
      <c r="B6" s="5"/>
      <c r="C6" s="5"/>
      <c r="D6" s="6">
        <v>43586</v>
      </c>
      <c r="E6" s="87"/>
      <c r="F6" s="55" t="s">
        <v>57</v>
      </c>
      <c r="G6" s="55" t="s">
        <v>58</v>
      </c>
      <c r="H6" s="55" t="s">
        <v>59</v>
      </c>
      <c r="I6" s="63" t="s">
        <v>60</v>
      </c>
      <c r="J6" s="75" t="s">
        <v>67</v>
      </c>
      <c r="K6" s="76"/>
    </row>
    <row r="7" spans="1:11" x14ac:dyDescent="0.3">
      <c r="A7" s="8" t="s">
        <v>2</v>
      </c>
      <c r="B7" s="8"/>
      <c r="C7" s="8"/>
      <c r="D7" s="9"/>
      <c r="E7" s="9"/>
      <c r="F7" s="9"/>
      <c r="G7" s="9"/>
      <c r="H7" s="9"/>
      <c r="I7" s="64"/>
      <c r="J7" s="77"/>
    </row>
    <row r="8" spans="1:11" x14ac:dyDescent="0.3">
      <c r="A8" s="10" t="s">
        <v>3</v>
      </c>
      <c r="C8" s="10"/>
      <c r="D8" s="11">
        <v>190711.05</v>
      </c>
      <c r="E8" s="12"/>
      <c r="F8" s="11">
        <v>68086.2</v>
      </c>
      <c r="G8" s="11">
        <f t="shared" ref="G8:I8" si="0">F67</f>
        <v>66196.945000000007</v>
      </c>
      <c r="H8" s="11">
        <f t="shared" si="0"/>
        <v>108883.94500000001</v>
      </c>
      <c r="I8" s="65">
        <f t="shared" si="0"/>
        <v>79012.945000000007</v>
      </c>
      <c r="J8" s="78">
        <f>F8</f>
        <v>68086.2</v>
      </c>
    </row>
    <row r="9" spans="1:11" x14ac:dyDescent="0.3">
      <c r="A9" s="10" t="s">
        <v>4</v>
      </c>
      <c r="C9" s="10"/>
      <c r="I9" s="66"/>
      <c r="J9" s="79"/>
    </row>
    <row r="10" spans="1:11" x14ac:dyDescent="0.3">
      <c r="B10" s="13" t="s">
        <v>5</v>
      </c>
      <c r="C10" s="10"/>
      <c r="I10" s="66"/>
      <c r="J10" s="79"/>
    </row>
    <row r="11" spans="1:11" s="4" customFormat="1" x14ac:dyDescent="0.3">
      <c r="A11" s="10"/>
      <c r="B11" s="10"/>
      <c r="C11" s="4" t="s">
        <v>6</v>
      </c>
      <c r="D11" s="14"/>
      <c r="E11" s="14"/>
      <c r="F11" s="15">
        <v>2329.9699999999998</v>
      </c>
      <c r="G11" s="4">
        <v>1000</v>
      </c>
      <c r="H11" s="4">
        <v>1000</v>
      </c>
      <c r="I11" s="66">
        <v>15000</v>
      </c>
      <c r="J11" s="79">
        <f t="shared" ref="J11:J20" si="1">SUM(F11:I11)</f>
        <v>19329.97</v>
      </c>
      <c r="K11" s="1" t="s">
        <v>71</v>
      </c>
    </row>
    <row r="12" spans="1:11" s="4" customFormat="1" x14ac:dyDescent="0.3">
      <c r="A12" s="10"/>
      <c r="B12" s="10"/>
      <c r="C12" s="4" t="s">
        <v>7</v>
      </c>
      <c r="D12" s="14"/>
      <c r="E12" s="14"/>
      <c r="F12" s="15">
        <v>0</v>
      </c>
      <c r="G12" s="4">
        <v>0</v>
      </c>
      <c r="H12" s="4">
        <v>0</v>
      </c>
      <c r="I12" s="66">
        <v>0</v>
      </c>
      <c r="J12" s="79">
        <f t="shared" si="1"/>
        <v>0</v>
      </c>
      <c r="K12" s="1"/>
    </row>
    <row r="13" spans="1:11" s="4" customFormat="1" x14ac:dyDescent="0.3">
      <c r="A13" s="10"/>
      <c r="B13" s="10"/>
      <c r="C13" s="4" t="s">
        <v>8</v>
      </c>
      <c r="D13" s="14"/>
      <c r="E13" s="14"/>
      <c r="F13" s="15">
        <v>40000</v>
      </c>
      <c r="G13" s="4">
        <v>0</v>
      </c>
      <c r="H13" s="4">
        <f>'[1]Restricted Neighborhood Rev.'!H71</f>
        <v>0</v>
      </c>
      <c r="I13" s="66">
        <v>0</v>
      </c>
      <c r="J13" s="79">
        <f t="shared" si="1"/>
        <v>40000</v>
      </c>
      <c r="K13" s="1" t="s">
        <v>70</v>
      </c>
    </row>
    <row r="14" spans="1:11" x14ac:dyDescent="0.3">
      <c r="A14" s="16"/>
      <c r="B14" s="16"/>
      <c r="C14" s="4" t="s">
        <v>9</v>
      </c>
      <c r="D14" s="17"/>
      <c r="E14" s="17"/>
      <c r="F14" s="18">
        <f>16000</f>
        <v>16000</v>
      </c>
      <c r="G14" s="19">
        <v>19000</v>
      </c>
      <c r="H14" s="19">
        <v>19000</v>
      </c>
      <c r="I14" s="67">
        <v>19000</v>
      </c>
      <c r="J14" s="80">
        <f t="shared" si="1"/>
        <v>73000</v>
      </c>
    </row>
    <row r="15" spans="1:11" x14ac:dyDescent="0.3">
      <c r="A15" s="16"/>
      <c r="B15" s="16"/>
      <c r="C15" s="4" t="s">
        <v>10</v>
      </c>
      <c r="D15" s="14"/>
      <c r="E15" s="14"/>
      <c r="F15" s="4">
        <v>450</v>
      </c>
      <c r="G15" s="4">
        <v>100</v>
      </c>
      <c r="H15" s="4">
        <v>100</v>
      </c>
      <c r="I15" s="66">
        <v>680</v>
      </c>
      <c r="J15" s="79">
        <f t="shared" si="1"/>
        <v>1330</v>
      </c>
      <c r="K15" s="1" t="s">
        <v>62</v>
      </c>
    </row>
    <row r="16" spans="1:11" x14ac:dyDescent="0.3">
      <c r="A16" s="16"/>
      <c r="B16" s="16"/>
      <c r="C16" s="4" t="s">
        <v>11</v>
      </c>
      <c r="D16" s="14"/>
      <c r="E16" s="14"/>
      <c r="F16" s="4">
        <v>0</v>
      </c>
      <c r="G16" s="4">
        <v>0</v>
      </c>
      <c r="H16" s="4">
        <v>0</v>
      </c>
      <c r="I16" s="66">
        <v>0</v>
      </c>
      <c r="J16" s="79">
        <f t="shared" si="1"/>
        <v>0</v>
      </c>
    </row>
    <row r="17" spans="1:11" x14ac:dyDescent="0.3">
      <c r="A17" s="16"/>
      <c r="B17" s="13" t="s">
        <v>12</v>
      </c>
      <c r="C17" s="1"/>
      <c r="D17" s="14"/>
      <c r="E17" s="14"/>
      <c r="I17" s="66"/>
      <c r="J17" s="79">
        <f t="shared" si="1"/>
        <v>0</v>
      </c>
    </row>
    <row r="18" spans="1:11" x14ac:dyDescent="0.3">
      <c r="A18" s="16"/>
      <c r="B18" s="16"/>
      <c r="C18" s="15" t="s">
        <v>13</v>
      </c>
      <c r="D18" s="14"/>
      <c r="E18" s="14"/>
      <c r="F18" s="15">
        <v>0</v>
      </c>
      <c r="G18" s="15">
        <f>53000+35000</f>
        <v>88000</v>
      </c>
      <c r="H18" s="15">
        <v>0</v>
      </c>
      <c r="I18" s="68">
        <v>0</v>
      </c>
      <c r="J18" s="81">
        <f t="shared" si="1"/>
        <v>88000</v>
      </c>
      <c r="K18" s="1" t="s">
        <v>73</v>
      </c>
    </row>
    <row r="19" spans="1:11" x14ac:dyDescent="0.3">
      <c r="A19" s="16"/>
      <c r="B19" s="16"/>
      <c r="C19" s="4" t="s">
        <v>14</v>
      </c>
      <c r="D19" s="14"/>
      <c r="E19" s="14"/>
      <c r="F19" s="15">
        <v>0</v>
      </c>
      <c r="G19" s="4">
        <v>0</v>
      </c>
      <c r="H19" s="4">
        <v>0</v>
      </c>
      <c r="I19" s="66">
        <v>0</v>
      </c>
      <c r="J19" s="79">
        <f t="shared" si="1"/>
        <v>0</v>
      </c>
    </row>
    <row r="20" spans="1:11" x14ac:dyDescent="0.3">
      <c r="A20" s="20" t="s">
        <v>15</v>
      </c>
      <c r="B20" s="20"/>
      <c r="C20" s="20"/>
      <c r="D20" s="11">
        <v>172229.35</v>
      </c>
      <c r="E20" s="21">
        <f>SUM(E11:E19)</f>
        <v>0</v>
      </c>
      <c r="F20" s="11">
        <f t="shared" ref="F20:I20" si="2">SUM(F11:F19)</f>
        <v>58779.97</v>
      </c>
      <c r="G20" s="11">
        <f t="shared" si="2"/>
        <v>108100</v>
      </c>
      <c r="H20" s="11">
        <f t="shared" si="2"/>
        <v>20100</v>
      </c>
      <c r="I20" s="65">
        <f t="shared" si="2"/>
        <v>34680</v>
      </c>
      <c r="J20" s="78">
        <f t="shared" si="1"/>
        <v>221659.97</v>
      </c>
    </row>
    <row r="21" spans="1:11" ht="12" customHeight="1" x14ac:dyDescent="0.3">
      <c r="E21" s="15"/>
      <c r="I21" s="66"/>
      <c r="J21" s="79"/>
    </row>
    <row r="22" spans="1:11" x14ac:dyDescent="0.3">
      <c r="A22" s="10" t="s">
        <v>16</v>
      </c>
      <c r="C22" s="10"/>
      <c r="E22" s="15"/>
      <c r="I22" s="66"/>
      <c r="J22" s="79"/>
    </row>
    <row r="23" spans="1:11" x14ac:dyDescent="0.3">
      <c r="B23" s="13" t="s">
        <v>17</v>
      </c>
      <c r="C23" s="1"/>
      <c r="E23" s="15"/>
      <c r="I23" s="66"/>
      <c r="J23" s="79"/>
    </row>
    <row r="24" spans="1:11" x14ac:dyDescent="0.3">
      <c r="A24" s="16"/>
      <c r="B24" s="16"/>
      <c r="C24" s="4" t="s">
        <v>18</v>
      </c>
      <c r="D24" s="22"/>
      <c r="E24" s="22"/>
      <c r="F24" s="4">
        <v>-18899</v>
      </c>
      <c r="G24" s="4">
        <v>-18340</v>
      </c>
      <c r="H24" s="4">
        <v>-18340</v>
      </c>
      <c r="I24" s="66">
        <f>-18340</f>
        <v>-18340</v>
      </c>
      <c r="J24" s="79">
        <f t="shared" ref="J24:J39" si="3">SUM(F24:I24)</f>
        <v>-73919</v>
      </c>
      <c r="K24" s="1" t="s">
        <v>63</v>
      </c>
    </row>
    <row r="25" spans="1:11" x14ac:dyDescent="0.3">
      <c r="A25" s="16"/>
      <c r="B25" s="16"/>
      <c r="C25" s="4" t="s">
        <v>19</v>
      </c>
      <c r="D25" s="22"/>
      <c r="E25" s="22"/>
      <c r="F25" s="4">
        <v>-2639</v>
      </c>
      <c r="G25" s="4">
        <v>-2500</v>
      </c>
      <c r="H25" s="4">
        <v>-911</v>
      </c>
      <c r="I25" s="66">
        <v>-2638.65</v>
      </c>
      <c r="J25" s="79">
        <f t="shared" si="3"/>
        <v>-8688.65</v>
      </c>
    </row>
    <row r="26" spans="1:11" x14ac:dyDescent="0.3">
      <c r="A26" s="16"/>
      <c r="B26" s="16"/>
      <c r="C26" s="4" t="s">
        <v>20</v>
      </c>
      <c r="D26" s="22"/>
      <c r="E26" s="22"/>
      <c r="F26" s="15">
        <v>0</v>
      </c>
      <c r="G26" s="4">
        <v>0</v>
      </c>
      <c r="H26" s="4">
        <v>0</v>
      </c>
      <c r="I26" s="66">
        <v>0</v>
      </c>
      <c r="J26" s="79">
        <f t="shared" si="3"/>
        <v>0</v>
      </c>
    </row>
    <row r="27" spans="1:11" x14ac:dyDescent="0.3">
      <c r="A27" s="16"/>
      <c r="B27" s="16"/>
      <c r="C27" s="4" t="s">
        <v>21</v>
      </c>
      <c r="D27" s="22"/>
      <c r="E27" s="22"/>
      <c r="F27" s="15">
        <v>0</v>
      </c>
      <c r="G27" s="4">
        <v>0</v>
      </c>
      <c r="H27" s="4">
        <v>0</v>
      </c>
      <c r="I27" s="68">
        <v>-6540</v>
      </c>
      <c r="J27" s="81">
        <f t="shared" si="3"/>
        <v>-6540</v>
      </c>
    </row>
    <row r="28" spans="1:11" x14ac:dyDescent="0.3">
      <c r="A28" s="16"/>
      <c r="B28" s="16"/>
      <c r="C28" s="4" t="s">
        <v>22</v>
      </c>
      <c r="D28" s="22"/>
      <c r="E28" s="22"/>
      <c r="F28" s="4">
        <v>0</v>
      </c>
      <c r="G28" s="4">
        <v>0</v>
      </c>
      <c r="H28" s="4">
        <v>0</v>
      </c>
      <c r="I28" s="66">
        <v>0</v>
      </c>
      <c r="J28" s="79">
        <f t="shared" si="3"/>
        <v>0</v>
      </c>
    </row>
    <row r="29" spans="1:11" x14ac:dyDescent="0.3">
      <c r="A29" s="16"/>
      <c r="B29" s="16"/>
      <c r="C29" s="4" t="s">
        <v>23</v>
      </c>
      <c r="D29" s="22"/>
      <c r="E29" s="22"/>
      <c r="F29" s="4">
        <v>0</v>
      </c>
      <c r="G29" s="4">
        <v>0</v>
      </c>
      <c r="H29" s="4">
        <v>0</v>
      </c>
      <c r="I29" s="66">
        <v>0</v>
      </c>
      <c r="J29" s="79">
        <f t="shared" si="3"/>
        <v>0</v>
      </c>
    </row>
    <row r="30" spans="1:11" x14ac:dyDescent="0.3">
      <c r="A30" s="16"/>
      <c r="B30" s="16"/>
      <c r="C30" s="4" t="s">
        <v>24</v>
      </c>
      <c r="D30" s="22"/>
      <c r="E30" s="22"/>
      <c r="F30" s="4">
        <f>-('[2]Consolidated Budget'!P21)</f>
        <v>0</v>
      </c>
      <c r="G30" s="4">
        <v>0</v>
      </c>
      <c r="H30" s="4">
        <v>0</v>
      </c>
      <c r="I30" s="66">
        <f>-('[2]Consolidated Budget'!S21)</f>
        <v>0</v>
      </c>
      <c r="J30" s="79">
        <f t="shared" si="3"/>
        <v>0</v>
      </c>
    </row>
    <row r="31" spans="1:11" x14ac:dyDescent="0.3">
      <c r="C31" s="4" t="s">
        <v>25</v>
      </c>
      <c r="D31" s="22"/>
      <c r="E31" s="22"/>
      <c r="F31" s="4">
        <f>-('[2]Consolidated Budget'!M78)/4</f>
        <v>-4016.2249999999999</v>
      </c>
      <c r="G31" s="4">
        <v>-4016</v>
      </c>
      <c r="H31" s="4">
        <v>-4016</v>
      </c>
      <c r="I31" s="66">
        <v>-4016</v>
      </c>
      <c r="J31" s="79">
        <f t="shared" si="3"/>
        <v>-16064.225</v>
      </c>
    </row>
    <row r="32" spans="1:11" x14ac:dyDescent="0.3">
      <c r="A32" s="16"/>
      <c r="B32" s="13" t="s">
        <v>26</v>
      </c>
      <c r="C32" s="1"/>
      <c r="D32" s="22"/>
      <c r="E32" s="22"/>
      <c r="F32" s="4" t="s">
        <v>27</v>
      </c>
      <c r="G32" s="4" t="s">
        <v>27</v>
      </c>
      <c r="H32" s="4" t="s">
        <v>27</v>
      </c>
      <c r="I32" s="66" t="s">
        <v>27</v>
      </c>
      <c r="J32" s="79">
        <f t="shared" si="3"/>
        <v>0</v>
      </c>
    </row>
    <row r="33" spans="1:11" x14ac:dyDescent="0.3">
      <c r="A33" s="16"/>
      <c r="B33" s="16"/>
      <c r="C33" s="23" t="s">
        <v>28</v>
      </c>
      <c r="D33" s="22"/>
      <c r="E33" s="22"/>
      <c r="F33" s="4">
        <v>0</v>
      </c>
      <c r="G33" s="4">
        <v>0</v>
      </c>
      <c r="H33" s="4">
        <v>0</v>
      </c>
      <c r="I33" s="66">
        <v>0</v>
      </c>
      <c r="J33" s="79">
        <f t="shared" si="3"/>
        <v>0</v>
      </c>
    </row>
    <row r="34" spans="1:11" x14ac:dyDescent="0.3">
      <c r="A34" s="16"/>
      <c r="B34" s="16"/>
      <c r="C34" s="23" t="s">
        <v>29</v>
      </c>
      <c r="D34" s="22"/>
      <c r="E34" s="22"/>
      <c r="F34" s="4">
        <v>0</v>
      </c>
      <c r="G34" s="4">
        <v>0</v>
      </c>
      <c r="H34" s="4">
        <v>0</v>
      </c>
      <c r="I34" s="66">
        <v>0</v>
      </c>
      <c r="J34" s="79">
        <f t="shared" si="3"/>
        <v>0</v>
      </c>
    </row>
    <row r="35" spans="1:11" s="26" customFormat="1" x14ac:dyDescent="0.3">
      <c r="A35" s="24"/>
      <c r="B35" s="24"/>
      <c r="C35" s="25" t="s">
        <v>30</v>
      </c>
      <c r="D35" s="15"/>
      <c r="E35" s="15"/>
      <c r="F35" s="15">
        <v>0</v>
      </c>
      <c r="G35" s="15">
        <v>0</v>
      </c>
      <c r="H35" s="15">
        <v>0</v>
      </c>
      <c r="I35" s="68">
        <v>0</v>
      </c>
      <c r="J35" s="81">
        <f t="shared" si="3"/>
        <v>0</v>
      </c>
    </row>
    <row r="36" spans="1:11" x14ac:dyDescent="0.3">
      <c r="A36" s="27" t="s">
        <v>31</v>
      </c>
      <c r="B36" s="27"/>
      <c r="C36" s="27"/>
      <c r="D36" s="11">
        <f>-151780.57+14855</f>
        <v>-136925.57</v>
      </c>
      <c r="E36" s="21">
        <f>SUM(E24:E35)</f>
        <v>0</v>
      </c>
      <c r="F36" s="11">
        <f t="shared" ref="F36:I36" si="4">SUM(F24:F35)</f>
        <v>-25554.224999999999</v>
      </c>
      <c r="G36" s="11">
        <f t="shared" si="4"/>
        <v>-24856</v>
      </c>
      <c r="H36" s="11">
        <f t="shared" si="4"/>
        <v>-23267</v>
      </c>
      <c r="I36" s="65">
        <f t="shared" si="4"/>
        <v>-31534.65</v>
      </c>
      <c r="J36" s="78">
        <f t="shared" si="3"/>
        <v>-105211.875</v>
      </c>
    </row>
    <row r="37" spans="1:11" x14ac:dyDescent="0.3">
      <c r="A37" s="27"/>
      <c r="B37" s="27"/>
      <c r="C37" s="27"/>
      <c r="D37" s="28"/>
      <c r="E37" s="28"/>
      <c r="F37" s="10"/>
      <c r="G37" s="10"/>
      <c r="H37" s="10"/>
      <c r="I37" s="69"/>
      <c r="J37" s="82">
        <f t="shared" si="3"/>
        <v>0</v>
      </c>
    </row>
    <row r="38" spans="1:11" x14ac:dyDescent="0.3">
      <c r="A38" s="16"/>
      <c r="B38" s="16"/>
      <c r="C38" s="29" t="s">
        <v>32</v>
      </c>
      <c r="D38" s="22">
        <f t="shared" ref="D38:I38" si="5">D20+D36</f>
        <v>35303.78</v>
      </c>
      <c r="E38" s="22">
        <f t="shared" si="5"/>
        <v>0</v>
      </c>
      <c r="F38" s="4">
        <f t="shared" si="5"/>
        <v>33225.745000000003</v>
      </c>
      <c r="G38" s="4">
        <f t="shared" si="5"/>
        <v>83244</v>
      </c>
      <c r="H38" s="4">
        <f t="shared" si="5"/>
        <v>-3167</v>
      </c>
      <c r="I38" s="66">
        <f t="shared" si="5"/>
        <v>3145.3499999999985</v>
      </c>
      <c r="J38" s="79">
        <f t="shared" si="3"/>
        <v>116448.095</v>
      </c>
    </row>
    <row r="39" spans="1:11" x14ac:dyDescent="0.3">
      <c r="C39" s="30"/>
      <c r="D39" s="22"/>
      <c r="E39" s="22"/>
      <c r="I39" s="66"/>
      <c r="J39" s="79">
        <f t="shared" si="3"/>
        <v>0</v>
      </c>
    </row>
    <row r="40" spans="1:11" ht="16.2" thickBot="1" x14ac:dyDescent="0.35">
      <c r="A40" s="10" t="s">
        <v>33</v>
      </c>
      <c r="C40" s="10"/>
      <c r="D40" s="31">
        <f t="shared" ref="D40:J40" si="6">D8+D20+D36</f>
        <v>226014.83000000002</v>
      </c>
      <c r="E40" s="32">
        <f t="shared" si="6"/>
        <v>0</v>
      </c>
      <c r="F40" s="32">
        <f t="shared" si="6"/>
        <v>101311.94500000001</v>
      </c>
      <c r="G40" s="31">
        <f t="shared" si="6"/>
        <v>149440.94500000001</v>
      </c>
      <c r="H40" s="31">
        <f t="shared" si="6"/>
        <v>105716.94500000001</v>
      </c>
      <c r="I40" s="70">
        <f t="shared" si="6"/>
        <v>82158.295000000013</v>
      </c>
      <c r="J40" s="83">
        <f t="shared" si="6"/>
        <v>184534.29499999998</v>
      </c>
    </row>
    <row r="41" spans="1:11" ht="16.2" thickTop="1" x14ac:dyDescent="0.3">
      <c r="C41" s="10"/>
      <c r="D41" s="10"/>
      <c r="E41" s="33"/>
      <c r="F41" s="10"/>
      <c r="G41" s="10"/>
      <c r="H41" s="10"/>
      <c r="I41" s="69"/>
      <c r="J41" s="82"/>
    </row>
    <row r="42" spans="1:11" x14ac:dyDescent="0.3">
      <c r="A42" s="34" t="s">
        <v>34</v>
      </c>
      <c r="B42" s="34"/>
      <c r="C42" s="34"/>
      <c r="D42" s="35"/>
      <c r="E42" s="35"/>
      <c r="F42" s="35"/>
      <c r="G42" s="35"/>
      <c r="H42" s="35"/>
      <c r="I42" s="71"/>
      <c r="J42" s="84"/>
    </row>
    <row r="43" spans="1:11" x14ac:dyDescent="0.3">
      <c r="A43" s="10" t="s">
        <v>4</v>
      </c>
      <c r="C43" s="10"/>
      <c r="E43" s="15"/>
      <c r="I43" s="66"/>
      <c r="J43" s="79"/>
    </row>
    <row r="44" spans="1:11" x14ac:dyDescent="0.3">
      <c r="A44" s="16"/>
      <c r="B44" s="16"/>
      <c r="C44" s="19" t="s">
        <v>35</v>
      </c>
      <c r="D44" s="22"/>
      <c r="E44" s="22"/>
      <c r="F44" s="4">
        <v>0</v>
      </c>
      <c r="G44" s="4">
        <v>0</v>
      </c>
      <c r="H44" s="4">
        <v>0</v>
      </c>
      <c r="I44" s="66">
        <v>56000</v>
      </c>
      <c r="J44" s="79">
        <f t="shared" ref="J44:J51" si="7">SUM(F44:I44)</f>
        <v>56000</v>
      </c>
      <c r="K44" s="1" t="s">
        <v>61</v>
      </c>
    </row>
    <row r="45" spans="1:11" x14ac:dyDescent="0.3">
      <c r="A45" s="16"/>
      <c r="B45" s="16"/>
      <c r="C45" s="19" t="s">
        <v>36</v>
      </c>
      <c r="D45" s="22"/>
      <c r="E45" s="22"/>
      <c r="F45" s="4">
        <v>0</v>
      </c>
      <c r="G45" s="4">
        <v>0</v>
      </c>
      <c r="H45" s="4">
        <v>0</v>
      </c>
      <c r="I45" s="66">
        <v>0</v>
      </c>
      <c r="J45" s="79">
        <f t="shared" si="7"/>
        <v>0</v>
      </c>
    </row>
    <row r="46" spans="1:11" x14ac:dyDescent="0.3">
      <c r="A46" s="16"/>
      <c r="B46" s="16"/>
      <c r="C46" s="19" t="s">
        <v>37</v>
      </c>
      <c r="D46" s="22"/>
      <c r="E46" s="22"/>
      <c r="F46" s="4">
        <v>0</v>
      </c>
      <c r="G46" s="4">
        <v>0</v>
      </c>
      <c r="H46" s="4">
        <v>0</v>
      </c>
      <c r="I46" s="66">
        <v>0</v>
      </c>
      <c r="J46" s="79">
        <f t="shared" si="7"/>
        <v>0</v>
      </c>
    </row>
    <row r="47" spans="1:11" x14ac:dyDescent="0.3">
      <c r="A47" s="16"/>
      <c r="B47" s="16"/>
      <c r="C47" s="19" t="s">
        <v>38</v>
      </c>
      <c r="D47" s="22"/>
      <c r="E47" s="22"/>
      <c r="F47" s="4">
        <v>0</v>
      </c>
      <c r="G47" s="4">
        <v>0</v>
      </c>
      <c r="H47" s="4">
        <v>0</v>
      </c>
      <c r="I47" s="66">
        <v>0</v>
      </c>
      <c r="J47" s="79">
        <f t="shared" si="7"/>
        <v>0</v>
      </c>
    </row>
    <row r="48" spans="1:11" x14ac:dyDescent="0.3">
      <c r="A48" s="16"/>
      <c r="B48" s="16"/>
      <c r="C48" s="19" t="s">
        <v>39</v>
      </c>
      <c r="D48" s="22"/>
      <c r="E48" s="22"/>
      <c r="F48" s="4">
        <v>0</v>
      </c>
      <c r="G48" s="4">
        <v>0</v>
      </c>
      <c r="H48" s="4">
        <v>0</v>
      </c>
      <c r="I48" s="66">
        <v>18000</v>
      </c>
      <c r="J48" s="79">
        <f t="shared" si="7"/>
        <v>18000</v>
      </c>
    </row>
    <row r="49" spans="1:11" x14ac:dyDescent="0.3">
      <c r="A49" s="16"/>
      <c r="B49" s="19"/>
      <c r="C49" s="19" t="s">
        <v>40</v>
      </c>
      <c r="D49" s="22"/>
      <c r="E49" s="22"/>
      <c r="F49" s="4">
        <f>'[1]Restricted To Construction'!F70</f>
        <v>0</v>
      </c>
      <c r="G49" s="4">
        <v>0</v>
      </c>
      <c r="H49" s="4">
        <f>'[1]Restricted To Construction'!H70</f>
        <v>0</v>
      </c>
      <c r="I49" s="66">
        <f>'[1]Restricted To Construction'!I70</f>
        <v>0</v>
      </c>
      <c r="J49" s="79">
        <f t="shared" si="7"/>
        <v>0</v>
      </c>
    </row>
    <row r="50" spans="1:11" x14ac:dyDescent="0.3">
      <c r="A50" s="16"/>
      <c r="B50" s="19" t="s">
        <v>41</v>
      </c>
      <c r="C50" s="1"/>
      <c r="D50" s="22"/>
      <c r="E50" s="22"/>
      <c r="F50" s="4">
        <f>'[1]Restricted To Construction'!F71</f>
        <v>0</v>
      </c>
      <c r="G50" s="4">
        <f>'[1]Restricted To Construction'!G71</f>
        <v>0</v>
      </c>
      <c r="H50" s="4">
        <v>19672</v>
      </c>
      <c r="I50" s="66">
        <v>15000</v>
      </c>
      <c r="J50" s="79">
        <f t="shared" si="7"/>
        <v>34672</v>
      </c>
      <c r="K50" s="1" t="s">
        <v>72</v>
      </c>
    </row>
    <row r="51" spans="1:11" s="26" customFormat="1" x14ac:dyDescent="0.3">
      <c r="A51" s="18"/>
      <c r="B51" s="18" t="s">
        <v>42</v>
      </c>
      <c r="C51" s="18"/>
      <c r="D51" s="15"/>
      <c r="E51" s="15"/>
      <c r="F51" s="15">
        <f>'[1]Restricted To Construction'!F72</f>
        <v>0</v>
      </c>
      <c r="G51" s="15">
        <f>'[1]Restricted To Construction'!G72</f>
        <v>0</v>
      </c>
      <c r="H51" s="15">
        <f>'[1]Restricted To Construction'!H72</f>
        <v>0</v>
      </c>
      <c r="I51" s="68">
        <f>'[1]Restricted To Construction'!I72</f>
        <v>0</v>
      </c>
      <c r="J51" s="79">
        <f t="shared" si="7"/>
        <v>0</v>
      </c>
    </row>
    <row r="52" spans="1:11" s="16" customFormat="1" x14ac:dyDescent="0.3">
      <c r="A52" s="20" t="s">
        <v>15</v>
      </c>
      <c r="B52" s="20"/>
      <c r="D52" s="36">
        <f t="shared" ref="D52:J52" si="8">SUM(D44:D51)</f>
        <v>0</v>
      </c>
      <c r="E52" s="37">
        <f t="shared" si="8"/>
        <v>0</v>
      </c>
      <c r="F52" s="36">
        <f t="shared" si="8"/>
        <v>0</v>
      </c>
      <c r="G52" s="36">
        <f t="shared" si="8"/>
        <v>0</v>
      </c>
      <c r="H52" s="36">
        <f t="shared" si="8"/>
        <v>19672</v>
      </c>
      <c r="I52" s="72">
        <f t="shared" si="8"/>
        <v>89000</v>
      </c>
      <c r="J52" s="85">
        <f t="shared" si="8"/>
        <v>108672</v>
      </c>
    </row>
    <row r="53" spans="1:11" ht="12" customHeight="1" x14ac:dyDescent="0.3">
      <c r="E53" s="15"/>
      <c r="I53" s="66"/>
      <c r="J53" s="79"/>
    </row>
    <row r="54" spans="1:11" x14ac:dyDescent="0.3">
      <c r="A54" s="10" t="s">
        <v>43</v>
      </c>
      <c r="C54" s="10"/>
      <c r="E54" s="15"/>
      <c r="I54" s="66"/>
      <c r="J54" s="79"/>
    </row>
    <row r="55" spans="1:11" s="4" customFormat="1" x14ac:dyDescent="0.3">
      <c r="A55" s="10"/>
      <c r="B55" s="10"/>
      <c r="C55" s="4" t="s">
        <v>44</v>
      </c>
      <c r="D55" s="22">
        <v>0</v>
      </c>
      <c r="E55" s="22"/>
      <c r="F55" s="15">
        <v>0</v>
      </c>
      <c r="G55" s="15">
        <f>-[3]Acquisition!I43</f>
        <v>0</v>
      </c>
      <c r="H55" s="15">
        <f>-[3]Acquisition!J43</f>
        <v>0</v>
      </c>
      <c r="I55" s="68">
        <v>0</v>
      </c>
      <c r="J55" s="79">
        <f t="shared" ref="J55:J60" si="9">SUM(F55:I55)</f>
        <v>0</v>
      </c>
      <c r="K55" s="1" t="s">
        <v>64</v>
      </c>
    </row>
    <row r="56" spans="1:11" x14ac:dyDescent="0.3">
      <c r="A56" s="16"/>
      <c r="B56" s="16"/>
      <c r="C56" s="4" t="s">
        <v>45</v>
      </c>
      <c r="D56" s="38">
        <f>-171186.13-(-3150-3150)</f>
        <v>-164886.13</v>
      </c>
      <c r="E56" s="38"/>
      <c r="F56" s="18">
        <v>-28728</v>
      </c>
      <c r="G56" s="18">
        <f>-17640-8300-2467-6150</f>
        <v>-34557</v>
      </c>
      <c r="H56" s="18">
        <f>-89933+34557+15000</f>
        <v>-40376</v>
      </c>
      <c r="I56" s="73">
        <v>-15000</v>
      </c>
      <c r="J56" s="79">
        <f t="shared" si="9"/>
        <v>-118661</v>
      </c>
      <c r="K56" s="1" t="s">
        <v>75</v>
      </c>
    </row>
    <row r="57" spans="1:11" x14ac:dyDescent="0.3">
      <c r="A57" s="16"/>
      <c r="B57" s="16"/>
      <c r="C57" s="4" t="s">
        <v>46</v>
      </c>
      <c r="D57" s="38">
        <v>-14855</v>
      </c>
      <c r="E57" s="38"/>
      <c r="F57" s="19">
        <f>-24155+18899</f>
        <v>-5256</v>
      </c>
      <c r="G57" s="19">
        <v>-6000</v>
      </c>
      <c r="H57" s="19">
        <v>-6000</v>
      </c>
      <c r="I57" s="67">
        <v>-6000</v>
      </c>
      <c r="J57" s="79">
        <f t="shared" si="9"/>
        <v>-23256</v>
      </c>
      <c r="K57" s="88" t="s">
        <v>76</v>
      </c>
    </row>
    <row r="58" spans="1:11" x14ac:dyDescent="0.3">
      <c r="C58" s="4" t="s">
        <v>65</v>
      </c>
      <c r="D58" s="22">
        <v>0</v>
      </c>
      <c r="E58" s="22"/>
      <c r="F58" s="4">
        <v>0</v>
      </c>
      <c r="G58" s="4">
        <f>-'[3]Closing Costs'!H44</f>
        <v>0</v>
      </c>
      <c r="H58" s="4">
        <v>0</v>
      </c>
      <c r="I58" s="66">
        <v>-75000</v>
      </c>
      <c r="J58" s="79">
        <f t="shared" si="9"/>
        <v>-75000</v>
      </c>
      <c r="K58" s="1" t="s">
        <v>74</v>
      </c>
    </row>
    <row r="59" spans="1:11" x14ac:dyDescent="0.3">
      <c r="A59" s="16"/>
      <c r="B59" s="16"/>
      <c r="C59" s="4" t="s">
        <v>48</v>
      </c>
      <c r="D59" s="38">
        <f>-3150-3150</f>
        <v>-6300</v>
      </c>
      <c r="E59" s="38"/>
      <c r="F59" s="4">
        <v>0</v>
      </c>
      <c r="G59" s="4">
        <v>0</v>
      </c>
      <c r="H59" s="4">
        <v>0</v>
      </c>
      <c r="I59" s="66">
        <v>0</v>
      </c>
      <c r="J59" s="79">
        <f t="shared" si="9"/>
        <v>0</v>
      </c>
    </row>
    <row r="60" spans="1:11" x14ac:dyDescent="0.3">
      <c r="A60" s="16"/>
      <c r="B60" s="16"/>
      <c r="C60" s="4" t="s">
        <v>30</v>
      </c>
      <c r="D60" s="38">
        <v>0</v>
      </c>
      <c r="E60" s="38"/>
      <c r="F60" s="4">
        <v>-1131</v>
      </c>
      <c r="I60" s="68"/>
      <c r="J60" s="79">
        <f t="shared" si="9"/>
        <v>-1131</v>
      </c>
    </row>
    <row r="61" spans="1:11" x14ac:dyDescent="0.3">
      <c r="A61" s="27" t="s">
        <v>31</v>
      </c>
      <c r="B61" s="27"/>
      <c r="C61" s="27"/>
      <c r="D61" s="11">
        <f t="shared" ref="D61:J61" si="10">SUM(D55:D60)</f>
        <v>-186041.13</v>
      </c>
      <c r="E61" s="21">
        <f t="shared" si="10"/>
        <v>0</v>
      </c>
      <c r="F61" s="11">
        <f t="shared" si="10"/>
        <v>-35115</v>
      </c>
      <c r="G61" s="11">
        <f t="shared" si="10"/>
        <v>-40557</v>
      </c>
      <c r="H61" s="11">
        <f t="shared" si="10"/>
        <v>-46376</v>
      </c>
      <c r="I61" s="65">
        <f t="shared" si="10"/>
        <v>-96000</v>
      </c>
      <c r="J61" s="78">
        <f t="shared" si="10"/>
        <v>-218048</v>
      </c>
    </row>
    <row r="62" spans="1:11" ht="12" customHeight="1" x14ac:dyDescent="0.3">
      <c r="A62" s="40"/>
      <c r="B62" s="40"/>
      <c r="C62" s="41"/>
      <c r="E62" s="15"/>
      <c r="I62" s="66"/>
      <c r="J62" s="79"/>
    </row>
    <row r="63" spans="1:11" x14ac:dyDescent="0.3">
      <c r="A63" s="40"/>
      <c r="B63" s="40"/>
      <c r="C63" s="30" t="s">
        <v>49</v>
      </c>
      <c r="D63" s="22">
        <f t="shared" ref="D63:I63" si="11">D52+D61</f>
        <v>-186041.13</v>
      </c>
      <c r="E63" s="22"/>
      <c r="F63" s="4">
        <f t="shared" si="11"/>
        <v>-35115</v>
      </c>
      <c r="G63" s="4">
        <f t="shared" si="11"/>
        <v>-40557</v>
      </c>
      <c r="H63" s="4">
        <f t="shared" si="11"/>
        <v>-26704</v>
      </c>
      <c r="I63" s="66">
        <f t="shared" si="11"/>
        <v>-7000</v>
      </c>
      <c r="J63" s="86">
        <f>SUM(F63:I63)</f>
        <v>-109376</v>
      </c>
    </row>
    <row r="64" spans="1:11" ht="12" customHeight="1" x14ac:dyDescent="0.3">
      <c r="A64" s="27"/>
      <c r="B64" s="27"/>
      <c r="C64" s="29"/>
      <c r="D64" s="28"/>
      <c r="E64" s="28"/>
      <c r="F64" s="10"/>
      <c r="G64" s="10"/>
      <c r="H64" s="10"/>
      <c r="I64" s="10"/>
      <c r="J64" s="60"/>
    </row>
    <row r="65" spans="1:10" x14ac:dyDescent="0.3">
      <c r="A65" s="16"/>
      <c r="B65" s="16"/>
      <c r="C65" s="30" t="s">
        <v>50</v>
      </c>
      <c r="D65" s="22">
        <v>0</v>
      </c>
      <c r="E65" s="22"/>
      <c r="F65" s="4">
        <v>0</v>
      </c>
      <c r="G65" s="4">
        <v>0</v>
      </c>
      <c r="H65" s="4">
        <v>0</v>
      </c>
      <c r="I65" s="15">
        <v>0</v>
      </c>
      <c r="J65" s="62"/>
    </row>
    <row r="66" spans="1:10" ht="12" customHeight="1" x14ac:dyDescent="0.3">
      <c r="A66" s="42"/>
      <c r="B66" s="42"/>
      <c r="C66" s="23"/>
      <c r="D66" s="22"/>
      <c r="E66" s="22"/>
      <c r="J66" s="62"/>
    </row>
    <row r="67" spans="1:10" ht="16.2" thickBot="1" x14ac:dyDescent="0.35">
      <c r="A67" s="42" t="s">
        <v>51</v>
      </c>
      <c r="B67" s="42"/>
      <c r="C67" s="42"/>
      <c r="D67" s="43">
        <f t="shared" ref="D67:I67" si="12">+D65+D40+D52+D61</f>
        <v>39973.700000000012</v>
      </c>
      <c r="E67" s="44">
        <v>73424.429999999993</v>
      </c>
      <c r="F67" s="43">
        <f t="shared" si="12"/>
        <v>66196.945000000007</v>
      </c>
      <c r="G67" s="43">
        <f t="shared" si="12"/>
        <v>108883.94500000001</v>
      </c>
      <c r="H67" s="43">
        <f t="shared" si="12"/>
        <v>79012.945000000007</v>
      </c>
      <c r="I67" s="43">
        <f t="shared" si="12"/>
        <v>75158.295000000013</v>
      </c>
      <c r="J67" s="39"/>
    </row>
    <row r="68" spans="1:10" ht="16.2" thickTop="1" x14ac:dyDescent="0.3">
      <c r="A68" s="42"/>
      <c r="B68" s="42"/>
      <c r="C68" s="45"/>
      <c r="D68" s="46"/>
      <c r="E68" s="47"/>
      <c r="F68" s="46"/>
      <c r="G68" s="46"/>
      <c r="H68" s="46"/>
      <c r="I68" s="46"/>
      <c r="J68" s="61"/>
    </row>
    <row r="69" spans="1:10" x14ac:dyDescent="0.3">
      <c r="A69" s="42"/>
      <c r="B69" s="42"/>
      <c r="C69" s="48" t="s">
        <v>52</v>
      </c>
      <c r="D69" s="46"/>
      <c r="E69" s="47"/>
      <c r="F69" s="46"/>
      <c r="G69" s="46"/>
      <c r="H69" s="46"/>
      <c r="I69" s="46"/>
      <c r="J69" s="61"/>
    </row>
    <row r="70" spans="1:10" x14ac:dyDescent="0.3">
      <c r="A70" s="42"/>
      <c r="B70" s="42"/>
      <c r="C70" s="49" t="s">
        <v>53</v>
      </c>
      <c r="D70" s="22">
        <v>253520.98</v>
      </c>
      <c r="E70" s="22">
        <v>267446.86</v>
      </c>
      <c r="F70" s="46">
        <f>E70</f>
        <v>267446.86</v>
      </c>
      <c r="G70" s="46">
        <f t="shared" ref="G70:I70" si="13">F70</f>
        <v>267446.86</v>
      </c>
      <c r="H70" s="46">
        <f t="shared" si="13"/>
        <v>267446.86</v>
      </c>
      <c r="I70" s="46">
        <f t="shared" si="13"/>
        <v>267446.86</v>
      </c>
      <c r="J70" s="62"/>
    </row>
    <row r="71" spans="1:10" x14ac:dyDescent="0.3">
      <c r="A71" s="42"/>
      <c r="B71" s="42"/>
      <c r="C71" s="49" t="s">
        <v>54</v>
      </c>
      <c r="D71" s="22">
        <v>254440.25</v>
      </c>
      <c r="E71" s="22">
        <v>19985.29</v>
      </c>
      <c r="F71" s="4">
        <v>254381.12</v>
      </c>
      <c r="G71" s="4">
        <v>254382.12</v>
      </c>
      <c r="H71" s="15">
        <v>254382</v>
      </c>
      <c r="I71" s="15">
        <v>0</v>
      </c>
      <c r="J71" s="62"/>
    </row>
    <row r="72" spans="1:10" s="16" customFormat="1" x14ac:dyDescent="0.3">
      <c r="A72" s="50"/>
      <c r="B72" s="50"/>
      <c r="C72" s="51" t="s">
        <v>66</v>
      </c>
      <c r="D72" s="28">
        <f>D67</f>
        <v>39973.700000000012</v>
      </c>
      <c r="E72" s="28">
        <f>E67</f>
        <v>73424.429999999993</v>
      </c>
      <c r="F72" s="33">
        <f t="shared" ref="F72:I72" si="14">F67</f>
        <v>66196.945000000007</v>
      </c>
      <c r="G72" s="33">
        <f t="shared" si="14"/>
        <v>108883.94500000001</v>
      </c>
      <c r="H72" s="33">
        <f t="shared" si="14"/>
        <v>79012.945000000007</v>
      </c>
      <c r="I72" s="33">
        <f t="shared" si="14"/>
        <v>75158.295000000013</v>
      </c>
      <c r="J72" s="62"/>
    </row>
    <row r="73" spans="1:10" ht="16.2" thickBot="1" x14ac:dyDescent="0.35">
      <c r="A73" s="4"/>
      <c r="B73" s="4"/>
      <c r="C73" s="49" t="s">
        <v>55</v>
      </c>
      <c r="D73" s="52">
        <f t="shared" ref="D73:I73" si="15">SUM(D70:D72)</f>
        <v>547934.92999999993</v>
      </c>
      <c r="E73" s="53">
        <f t="shared" si="15"/>
        <v>360856.57999999996</v>
      </c>
      <c r="F73" s="52">
        <f t="shared" si="15"/>
        <v>588024.92500000005</v>
      </c>
      <c r="G73" s="52">
        <f t="shared" si="15"/>
        <v>630712.92500000005</v>
      </c>
      <c r="H73" s="52">
        <f t="shared" si="15"/>
        <v>600841.80499999993</v>
      </c>
      <c r="I73" s="52">
        <f t="shared" si="15"/>
        <v>342605.15500000003</v>
      </c>
      <c r="J73" s="56"/>
    </row>
    <row r="74" spans="1:10" x14ac:dyDescent="0.3">
      <c r="E74" s="15"/>
    </row>
    <row r="75" spans="1:10" x14ac:dyDescent="0.3">
      <c r="A75" s="42"/>
      <c r="B75" s="42"/>
      <c r="C75" s="54" t="s">
        <v>56</v>
      </c>
      <c r="D75" s="38">
        <v>0</v>
      </c>
      <c r="E75" s="38">
        <v>220000</v>
      </c>
      <c r="F75" s="15">
        <f>E75+F65</f>
        <v>220000</v>
      </c>
      <c r="G75" s="15">
        <f t="shared" ref="G75:I75" si="16">F75+G65</f>
        <v>220000</v>
      </c>
      <c r="H75" s="15">
        <f t="shared" si="16"/>
        <v>220000</v>
      </c>
      <c r="I75" s="15">
        <f t="shared" si="16"/>
        <v>220000</v>
      </c>
      <c r="J75" s="15"/>
    </row>
  </sheetData>
  <mergeCells count="5">
    <mergeCell ref="A1:I1"/>
    <mergeCell ref="A2:I2"/>
    <mergeCell ref="A3:I3"/>
    <mergeCell ref="A4:H4"/>
    <mergeCell ref="F5:I5"/>
  </mergeCells>
  <printOptions horizontalCentered="1"/>
  <pageMargins left="0.25" right="0.25" top="0.75" bottom="0.75" header="0.3" footer="0.3"/>
  <pageSetup scale="55" pageOrder="overThenDown" orientation="portrait" r:id="rId1"/>
  <headerFooter scaleWithDoc="0" alignWithMargins="0"/>
  <ignoredErrors>
    <ignoredError sqref="J14:J19 J27:J34 J45:J48 J57:J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87"/>
  <sheetViews>
    <sheetView showGridLines="0" tabSelected="1" zoomScaleNormal="100" zoomScaleSheetLayoutView="85" workbookViewId="0">
      <pane xSplit="3" ySplit="2" topLeftCell="AB63" activePane="bottomRight" state="frozen"/>
      <selection pane="topRight" activeCell="C1" sqref="C1"/>
      <selection pane="bottomLeft" activeCell="A7" sqref="A7"/>
      <selection pane="bottomRight" activeCell="L60" sqref="L60"/>
    </sheetView>
  </sheetViews>
  <sheetFormatPr defaultColWidth="9.109375" defaultRowHeight="15.6" x14ac:dyDescent="0.3"/>
  <cols>
    <col min="1" max="2" width="1.6640625" style="10" customWidth="1"/>
    <col min="3" max="3" width="37.5546875" style="4" customWidth="1"/>
    <col min="4" max="5" width="12.33203125" style="4" hidden="1" customWidth="1"/>
    <col min="6" max="17" width="13.109375" style="4" customWidth="1"/>
    <col min="18" max="41" width="13.109375" style="1" customWidth="1"/>
    <col min="42" max="42" width="72.6640625" style="4" bestFit="1" customWidth="1"/>
    <col min="43" max="43" width="10.5546875" style="1" bestFit="1" customWidth="1"/>
    <col min="44" max="44" width="9.109375" style="1"/>
    <col min="45" max="45" width="10.5546875" style="1" bestFit="1" customWidth="1"/>
    <col min="46" max="16384" width="9.109375" style="1"/>
  </cols>
  <sheetData>
    <row r="1" spans="1:42" ht="25.8" x14ac:dyDescent="0.5">
      <c r="A1" s="129" t="s">
        <v>87</v>
      </c>
      <c r="B1" s="128"/>
      <c r="D1" s="139" t="s">
        <v>86</v>
      </c>
      <c r="E1" s="139"/>
      <c r="F1" s="141" t="s">
        <v>88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39" t="s">
        <v>107</v>
      </c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43" t="s">
        <v>108</v>
      </c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2" t="s">
        <v>159</v>
      </c>
    </row>
    <row r="2" spans="1:42" s="90" customFormat="1" x14ac:dyDescent="0.3">
      <c r="A2" s="97" t="s">
        <v>152</v>
      </c>
      <c r="B2" s="97"/>
      <c r="C2" s="97"/>
      <c r="D2" s="89">
        <v>44335</v>
      </c>
      <c r="E2" s="89">
        <v>44366</v>
      </c>
      <c r="F2" s="89">
        <v>44396</v>
      </c>
      <c r="G2" s="89">
        <v>44427</v>
      </c>
      <c r="H2" s="89">
        <v>44458</v>
      </c>
      <c r="I2" s="89">
        <v>44488</v>
      </c>
      <c r="J2" s="89">
        <v>44519</v>
      </c>
      <c r="K2" s="89">
        <v>44549</v>
      </c>
      <c r="L2" s="89">
        <v>44582</v>
      </c>
      <c r="M2" s="89">
        <v>44613</v>
      </c>
      <c r="N2" s="89">
        <v>44641</v>
      </c>
      <c r="O2" s="89">
        <v>44672</v>
      </c>
      <c r="P2" s="89">
        <v>44702</v>
      </c>
      <c r="Q2" s="89">
        <v>44733</v>
      </c>
      <c r="R2" s="89">
        <v>44761</v>
      </c>
      <c r="S2" s="89">
        <f>R2+30</f>
        <v>44791</v>
      </c>
      <c r="T2" s="89">
        <f t="shared" ref="T2:AC2" si="0">S2+30</f>
        <v>44821</v>
      </c>
      <c r="U2" s="89">
        <f t="shared" si="0"/>
        <v>44851</v>
      </c>
      <c r="V2" s="89">
        <f t="shared" si="0"/>
        <v>44881</v>
      </c>
      <c r="W2" s="89">
        <f t="shared" si="0"/>
        <v>44911</v>
      </c>
      <c r="X2" s="89">
        <f t="shared" si="0"/>
        <v>44941</v>
      </c>
      <c r="Y2" s="89">
        <f t="shared" si="0"/>
        <v>44971</v>
      </c>
      <c r="Z2" s="89">
        <f t="shared" si="0"/>
        <v>45001</v>
      </c>
      <c r="AA2" s="89">
        <f t="shared" si="0"/>
        <v>45031</v>
      </c>
      <c r="AB2" s="89">
        <f t="shared" si="0"/>
        <v>45061</v>
      </c>
      <c r="AC2" s="89">
        <f t="shared" si="0"/>
        <v>45091</v>
      </c>
      <c r="AD2" s="89">
        <v>45126</v>
      </c>
      <c r="AE2" s="89">
        <f>AD2+30</f>
        <v>45156</v>
      </c>
      <c r="AF2" s="89">
        <f t="shared" ref="AF2:AO2" si="1">AE2+30</f>
        <v>45186</v>
      </c>
      <c r="AG2" s="89">
        <f t="shared" si="1"/>
        <v>45216</v>
      </c>
      <c r="AH2" s="89">
        <f t="shared" si="1"/>
        <v>45246</v>
      </c>
      <c r="AI2" s="89">
        <f t="shared" si="1"/>
        <v>45276</v>
      </c>
      <c r="AJ2" s="89">
        <f t="shared" si="1"/>
        <v>45306</v>
      </c>
      <c r="AK2" s="89">
        <f t="shared" si="1"/>
        <v>45336</v>
      </c>
      <c r="AL2" s="89">
        <f t="shared" si="1"/>
        <v>45366</v>
      </c>
      <c r="AM2" s="89">
        <f t="shared" si="1"/>
        <v>45396</v>
      </c>
      <c r="AN2" s="89">
        <f t="shared" si="1"/>
        <v>45426</v>
      </c>
      <c r="AO2" s="89">
        <f t="shared" si="1"/>
        <v>45456</v>
      </c>
      <c r="AP2" s="142"/>
    </row>
    <row r="3" spans="1:42" s="26" customFormat="1" x14ac:dyDescent="0.3">
      <c r="A3" s="110" t="s">
        <v>2</v>
      </c>
      <c r="B3" s="110"/>
      <c r="C3" s="110"/>
      <c r="D3" s="100"/>
      <c r="E3" s="100"/>
      <c r="F3" s="122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5"/>
    </row>
    <row r="4" spans="1:42" x14ac:dyDescent="0.3">
      <c r="A4" s="10" t="s">
        <v>69</v>
      </c>
      <c r="C4" s="10"/>
      <c r="D4" s="11">
        <v>1095293.28</v>
      </c>
      <c r="E4" s="11">
        <f t="shared" ref="E4:Q4" si="2">D71</f>
        <v>732153.93900456396</v>
      </c>
      <c r="F4" s="127">
        <v>1051985.3700000001</v>
      </c>
      <c r="G4" s="11">
        <f>F71</f>
        <v>870971.40497226547</v>
      </c>
      <c r="H4" s="11">
        <f>G71</f>
        <v>684727.98526883847</v>
      </c>
      <c r="I4" s="11">
        <f t="shared" si="2"/>
        <v>550379.39806541137</v>
      </c>
      <c r="J4" s="11">
        <f t="shared" si="2"/>
        <v>418698.76303767652</v>
      </c>
      <c r="K4" s="11">
        <f t="shared" si="2"/>
        <v>839323.67333424941</v>
      </c>
      <c r="L4" s="11">
        <f t="shared" si="2"/>
        <v>925731.11281266867</v>
      </c>
      <c r="M4" s="11">
        <f t="shared" si="2"/>
        <v>1013302.5505603186</v>
      </c>
      <c r="N4" s="11">
        <f t="shared" si="2"/>
        <v>990457.46085689159</v>
      </c>
      <c r="O4" s="11">
        <f t="shared" si="2"/>
        <v>1653592.2036534646</v>
      </c>
      <c r="P4" s="11">
        <f t="shared" si="2"/>
        <v>1538418.6519590633</v>
      </c>
      <c r="Q4" s="11">
        <f t="shared" si="2"/>
        <v>1527877.7289223028</v>
      </c>
      <c r="R4" s="104">
        <f t="shared" ref="R4" si="3">Q71</f>
        <v>1628298.7217188757</v>
      </c>
      <c r="S4" s="104">
        <f t="shared" ref="S4" si="4">R71</f>
        <v>1410952.2879710407</v>
      </c>
      <c r="T4" s="104">
        <f t="shared" ref="T4" si="5">S71</f>
        <v>1425083.6751517423</v>
      </c>
      <c r="U4" s="104">
        <f t="shared" ref="U4" si="6">T71</f>
        <v>1221842.022494944</v>
      </c>
      <c r="V4" s="104">
        <f t="shared" ref="V4" si="7">U71</f>
        <v>1222716.423747109</v>
      </c>
      <c r="W4" s="104">
        <f t="shared" ref="W4" si="8">V71</f>
        <v>1070303.6459278106</v>
      </c>
      <c r="X4" s="104">
        <f t="shared" ref="X4" si="9">W71</f>
        <v>1098230.936686601</v>
      </c>
      <c r="Y4" s="104">
        <f t="shared" ref="Y4" si="10">X71</f>
        <v>1050104.9049660645</v>
      </c>
      <c r="Z4" s="104">
        <f t="shared" ref="Z4" si="11">Y71</f>
        <v>1027292.1271467661</v>
      </c>
      <c r="AA4" s="104">
        <f t="shared" ref="AA4" si="12">Z71</f>
        <v>869599.26988371764</v>
      </c>
      <c r="AB4" s="104">
        <f t="shared" ref="AB4" si="13">AA71</f>
        <v>797330.75446921587</v>
      </c>
      <c r="AC4" s="104">
        <f t="shared" ref="AC4" si="14">AB71</f>
        <v>809352.14331658417</v>
      </c>
      <c r="AD4" s="109">
        <f t="shared" ref="AD4" si="15">AC71</f>
        <v>841490.53605353576</v>
      </c>
      <c r="AE4" s="109">
        <f t="shared" ref="AE4" si="16">AD71</f>
        <v>574298.346509567</v>
      </c>
      <c r="AF4" s="109">
        <f t="shared" ref="AF4" si="17">AE71</f>
        <v>479746.6829604524</v>
      </c>
      <c r="AG4" s="109">
        <f t="shared" ref="AG4" si="18">AF71</f>
        <v>227356.73837871276</v>
      </c>
      <c r="AH4" s="109">
        <f t="shared" ref="AH4" si="19">AG71</f>
        <v>178788.21683474391</v>
      </c>
      <c r="AI4" s="109">
        <f t="shared" ref="AI4" si="20">AH71</f>
        <v>8088.2212856292899</v>
      </c>
      <c r="AJ4" s="109">
        <f t="shared" ref="AJ4" si="21">AI71</f>
        <v>-6733.503628053877</v>
      </c>
      <c r="AK4" s="109">
        <f t="shared" ref="AK4" si="22">AJ71</f>
        <v>-74309.471133905347</v>
      </c>
      <c r="AL4" s="109">
        <f t="shared" ref="AL4" si="23">AK71</f>
        <v>-115400.46668301997</v>
      </c>
      <c r="AM4" s="109">
        <f t="shared" ref="AM4" si="24">AL71</f>
        <v>-319850.34405919706</v>
      </c>
      <c r="AN4" s="109">
        <f t="shared" ref="AN4" si="25">AM71</f>
        <v>-411558.78226983262</v>
      </c>
      <c r="AO4" s="109">
        <f t="shared" ref="AO4" si="26">AN71</f>
        <v>-417824.61115228047</v>
      </c>
    </row>
    <row r="5" spans="1:42" x14ac:dyDescent="0.3">
      <c r="A5" s="10" t="s">
        <v>4</v>
      </c>
      <c r="C5" s="10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</row>
    <row r="6" spans="1:42" x14ac:dyDescent="0.3">
      <c r="B6" s="13" t="s">
        <v>5</v>
      </c>
      <c r="C6" s="10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2" s="15" customFormat="1" x14ac:dyDescent="0.3">
      <c r="A7" s="33"/>
      <c r="B7" s="33"/>
      <c r="C7" s="15" t="s">
        <v>81</v>
      </c>
      <c r="D7" s="15">
        <v>5000</v>
      </c>
      <c r="E7" s="15">
        <v>5000</v>
      </c>
      <c r="F7" s="15">
        <v>51100</v>
      </c>
      <c r="G7" s="15">
        <v>52065</v>
      </c>
      <c r="H7" s="15">
        <v>6200</v>
      </c>
      <c r="I7" s="15">
        <v>58300</v>
      </c>
      <c r="J7" s="15">
        <v>63500</v>
      </c>
      <c r="K7" s="15">
        <v>95500</v>
      </c>
      <c r="L7" s="15">
        <v>6300</v>
      </c>
      <c r="M7" s="15">
        <v>36100</v>
      </c>
      <c r="N7" s="15">
        <v>42880</v>
      </c>
      <c r="O7" s="15">
        <v>42157.083333333299</v>
      </c>
      <c r="P7" s="15">
        <v>41434.166666666701</v>
      </c>
      <c r="Q7" s="15">
        <v>40711.25</v>
      </c>
      <c r="R7" s="105">
        <v>51280</v>
      </c>
      <c r="S7" s="105">
        <v>15250</v>
      </c>
      <c r="T7" s="105">
        <v>6380</v>
      </c>
      <c r="U7" s="105">
        <v>58900</v>
      </c>
      <c r="V7" s="105">
        <v>66800</v>
      </c>
      <c r="W7" s="105">
        <v>97600</v>
      </c>
      <c r="X7" s="105">
        <v>6480</v>
      </c>
      <c r="Y7" s="105">
        <v>37300</v>
      </c>
      <c r="Z7" s="105">
        <v>6280</v>
      </c>
      <c r="AA7" s="105">
        <v>35250</v>
      </c>
      <c r="AB7" s="105">
        <v>21870</v>
      </c>
      <c r="AC7" s="105">
        <v>20400</v>
      </c>
      <c r="AD7" s="108">
        <v>52400</v>
      </c>
      <c r="AE7" s="108">
        <v>15750</v>
      </c>
      <c r="AF7" s="108">
        <v>8400</v>
      </c>
      <c r="AG7" s="108">
        <v>58900</v>
      </c>
      <c r="AH7" s="108">
        <v>66800</v>
      </c>
      <c r="AI7" s="108">
        <v>97600</v>
      </c>
      <c r="AJ7" s="108">
        <v>8000</v>
      </c>
      <c r="AK7" s="108">
        <v>32000</v>
      </c>
      <c r="AL7" s="108">
        <v>6850</v>
      </c>
      <c r="AM7" s="108">
        <v>35250</v>
      </c>
      <c r="AN7" s="108">
        <v>21870</v>
      </c>
      <c r="AO7" s="108">
        <v>20400</v>
      </c>
      <c r="AP7" s="15" t="s">
        <v>153</v>
      </c>
    </row>
    <row r="8" spans="1:42" s="15" customFormat="1" x14ac:dyDescent="0.3">
      <c r="A8" s="33"/>
      <c r="B8" s="33"/>
      <c r="C8" s="15" t="s">
        <v>7</v>
      </c>
      <c r="F8" s="15">
        <v>0</v>
      </c>
      <c r="G8" s="15">
        <v>0</v>
      </c>
      <c r="H8" s="15">
        <v>0</v>
      </c>
      <c r="I8" s="15">
        <v>5000</v>
      </c>
      <c r="J8" s="15">
        <v>20000</v>
      </c>
      <c r="K8" s="15">
        <v>45000</v>
      </c>
      <c r="L8" s="15">
        <v>5000</v>
      </c>
      <c r="M8" s="15">
        <v>5000</v>
      </c>
      <c r="N8" s="15">
        <v>0</v>
      </c>
      <c r="O8" s="15">
        <v>5000</v>
      </c>
      <c r="P8" s="15">
        <v>10000</v>
      </c>
      <c r="Q8" s="15">
        <v>0</v>
      </c>
      <c r="R8" s="105">
        <v>0</v>
      </c>
      <c r="S8" s="105">
        <v>0</v>
      </c>
      <c r="T8" s="105">
        <v>0</v>
      </c>
      <c r="U8" s="105">
        <v>5000</v>
      </c>
      <c r="V8" s="105">
        <v>20000</v>
      </c>
      <c r="W8" s="105">
        <v>45000</v>
      </c>
      <c r="X8" s="105">
        <v>18000</v>
      </c>
      <c r="Y8" s="105">
        <v>7500</v>
      </c>
      <c r="Z8" s="105">
        <v>0</v>
      </c>
      <c r="AA8" s="105">
        <v>5000</v>
      </c>
      <c r="AB8" s="105">
        <v>13500</v>
      </c>
      <c r="AC8" s="105">
        <v>0</v>
      </c>
      <c r="AD8" s="108">
        <v>0</v>
      </c>
      <c r="AE8" s="108">
        <v>0</v>
      </c>
      <c r="AF8" s="108">
        <v>0</v>
      </c>
      <c r="AG8" s="108">
        <v>7000</v>
      </c>
      <c r="AH8" s="108">
        <v>20000</v>
      </c>
      <c r="AI8" s="108">
        <v>45000</v>
      </c>
      <c r="AJ8" s="108">
        <v>18000</v>
      </c>
      <c r="AK8" s="108">
        <v>10000</v>
      </c>
      <c r="AL8" s="108">
        <v>0</v>
      </c>
      <c r="AM8" s="108">
        <v>5000</v>
      </c>
      <c r="AN8" s="108">
        <v>15000</v>
      </c>
      <c r="AO8" s="108">
        <v>2000</v>
      </c>
      <c r="AP8" s="15" t="s">
        <v>153</v>
      </c>
    </row>
    <row r="9" spans="1:42" s="26" customFormat="1" x14ac:dyDescent="0.3">
      <c r="A9" s="24"/>
      <c r="B9" s="24"/>
      <c r="C9" s="15" t="s">
        <v>9</v>
      </c>
      <c r="D9" s="15">
        <v>44090</v>
      </c>
      <c r="E9" s="15">
        <v>44090</v>
      </c>
      <c r="F9" s="15">
        <v>68141</v>
      </c>
      <c r="G9" s="15">
        <v>68141</v>
      </c>
      <c r="H9" s="15">
        <v>68141</v>
      </c>
      <c r="I9" s="15">
        <v>68141</v>
      </c>
      <c r="J9" s="15">
        <v>68141</v>
      </c>
      <c r="K9" s="15">
        <v>68141</v>
      </c>
      <c r="L9" s="15">
        <v>68141</v>
      </c>
      <c r="M9" s="15">
        <v>68141</v>
      </c>
      <c r="N9" s="15">
        <v>68141</v>
      </c>
      <c r="O9" s="15">
        <v>68141</v>
      </c>
      <c r="P9" s="15">
        <v>68141</v>
      </c>
      <c r="Q9" s="15">
        <v>68141</v>
      </c>
      <c r="R9" s="105">
        <f>F9*1.03</f>
        <v>70185.23</v>
      </c>
      <c r="S9" s="105">
        <f t="shared" ref="S9:AO9" si="27">G9*1.03</f>
        <v>70185.23</v>
      </c>
      <c r="T9" s="105">
        <f t="shared" si="27"/>
        <v>70185.23</v>
      </c>
      <c r="U9" s="105">
        <f t="shared" si="27"/>
        <v>70185.23</v>
      </c>
      <c r="V9" s="105">
        <f t="shared" si="27"/>
        <v>70185.23</v>
      </c>
      <c r="W9" s="105">
        <f t="shared" si="27"/>
        <v>70185.23</v>
      </c>
      <c r="X9" s="105">
        <f t="shared" si="27"/>
        <v>70185.23</v>
      </c>
      <c r="Y9" s="105">
        <f t="shared" si="27"/>
        <v>70185.23</v>
      </c>
      <c r="Z9" s="105">
        <f t="shared" si="27"/>
        <v>70185.23</v>
      </c>
      <c r="AA9" s="105">
        <f t="shared" si="27"/>
        <v>70185.23</v>
      </c>
      <c r="AB9" s="105">
        <f t="shared" si="27"/>
        <v>70185.23</v>
      </c>
      <c r="AC9" s="105">
        <f t="shared" si="27"/>
        <v>70185.23</v>
      </c>
      <c r="AD9" s="108">
        <f t="shared" si="27"/>
        <v>72290.786899999992</v>
      </c>
      <c r="AE9" s="108">
        <f t="shared" si="27"/>
        <v>72290.786899999992</v>
      </c>
      <c r="AF9" s="108">
        <f t="shared" si="27"/>
        <v>72290.786899999992</v>
      </c>
      <c r="AG9" s="108">
        <f t="shared" si="27"/>
        <v>72290.786899999992</v>
      </c>
      <c r="AH9" s="108">
        <f t="shared" si="27"/>
        <v>72290.786899999992</v>
      </c>
      <c r="AI9" s="108">
        <f t="shared" si="27"/>
        <v>72290.786899999992</v>
      </c>
      <c r="AJ9" s="108">
        <f t="shared" si="27"/>
        <v>72290.786899999992</v>
      </c>
      <c r="AK9" s="108">
        <f t="shared" si="27"/>
        <v>72290.786899999992</v>
      </c>
      <c r="AL9" s="108">
        <f t="shared" si="27"/>
        <v>72290.786899999992</v>
      </c>
      <c r="AM9" s="108">
        <f t="shared" si="27"/>
        <v>72290.786899999992</v>
      </c>
      <c r="AN9" s="108">
        <f t="shared" si="27"/>
        <v>72290.786899999992</v>
      </c>
      <c r="AO9" s="108">
        <f t="shared" si="27"/>
        <v>72290.786899999992</v>
      </c>
      <c r="AP9" s="4" t="s">
        <v>113</v>
      </c>
    </row>
    <row r="10" spans="1:42" s="26" customFormat="1" x14ac:dyDescent="0.3">
      <c r="A10" s="24"/>
      <c r="B10" s="24"/>
      <c r="C10" s="15" t="s">
        <v>89</v>
      </c>
      <c r="D10" s="15"/>
      <c r="E10" s="15"/>
      <c r="F10" s="15">
        <f>158600/12</f>
        <v>13216.666666666666</v>
      </c>
      <c r="G10" s="15">
        <f t="shared" ref="G10:Q10" si="28">158600/12</f>
        <v>13216.666666666666</v>
      </c>
      <c r="H10" s="15">
        <f t="shared" si="28"/>
        <v>13216.666666666666</v>
      </c>
      <c r="I10" s="15">
        <f t="shared" si="28"/>
        <v>13216.666666666666</v>
      </c>
      <c r="J10" s="15">
        <f t="shared" si="28"/>
        <v>13216.666666666666</v>
      </c>
      <c r="K10" s="15">
        <f t="shared" si="28"/>
        <v>13216.666666666666</v>
      </c>
      <c r="L10" s="15">
        <f t="shared" si="28"/>
        <v>13216.666666666666</v>
      </c>
      <c r="M10" s="15">
        <f t="shared" si="28"/>
        <v>13216.666666666666</v>
      </c>
      <c r="N10" s="15">
        <f t="shared" si="28"/>
        <v>13216.666666666666</v>
      </c>
      <c r="O10" s="15">
        <f t="shared" si="28"/>
        <v>13216.666666666666</v>
      </c>
      <c r="P10" s="15">
        <f t="shared" si="28"/>
        <v>13216.666666666666</v>
      </c>
      <c r="Q10" s="15">
        <f t="shared" si="28"/>
        <v>13216.666666666666</v>
      </c>
      <c r="R10" s="105">
        <f>F10*1.33333</f>
        <v>17622.178166666665</v>
      </c>
      <c r="S10" s="105">
        <f t="shared" ref="S10:AO10" si="29">G10*1.33333</f>
        <v>17622.178166666665</v>
      </c>
      <c r="T10" s="105">
        <f t="shared" si="29"/>
        <v>17622.178166666665</v>
      </c>
      <c r="U10" s="105">
        <f t="shared" si="29"/>
        <v>17622.178166666665</v>
      </c>
      <c r="V10" s="105">
        <f t="shared" si="29"/>
        <v>17622.178166666665</v>
      </c>
      <c r="W10" s="105">
        <f t="shared" si="29"/>
        <v>17622.178166666665</v>
      </c>
      <c r="X10" s="105">
        <f t="shared" si="29"/>
        <v>17622.178166666665</v>
      </c>
      <c r="Y10" s="105">
        <f t="shared" si="29"/>
        <v>17622.178166666665</v>
      </c>
      <c r="Z10" s="105">
        <f t="shared" si="29"/>
        <v>17622.178166666665</v>
      </c>
      <c r="AA10" s="105">
        <f t="shared" si="29"/>
        <v>17622.178166666665</v>
      </c>
      <c r="AB10" s="105">
        <f t="shared" si="29"/>
        <v>17622.178166666665</v>
      </c>
      <c r="AC10" s="105">
        <f t="shared" si="29"/>
        <v>17622.178166666665</v>
      </c>
      <c r="AD10" s="108">
        <f t="shared" si="29"/>
        <v>23496.178814961662</v>
      </c>
      <c r="AE10" s="108">
        <f t="shared" si="29"/>
        <v>23496.178814961662</v>
      </c>
      <c r="AF10" s="108">
        <f t="shared" si="29"/>
        <v>23496.178814961662</v>
      </c>
      <c r="AG10" s="108">
        <f t="shared" si="29"/>
        <v>23496.178814961662</v>
      </c>
      <c r="AH10" s="108">
        <f t="shared" si="29"/>
        <v>23496.178814961662</v>
      </c>
      <c r="AI10" s="108">
        <f t="shared" si="29"/>
        <v>23496.178814961662</v>
      </c>
      <c r="AJ10" s="108">
        <f t="shared" si="29"/>
        <v>23496.178814961662</v>
      </c>
      <c r="AK10" s="108">
        <f t="shared" si="29"/>
        <v>23496.178814961662</v>
      </c>
      <c r="AL10" s="108">
        <f t="shared" si="29"/>
        <v>23496.178814961662</v>
      </c>
      <c r="AM10" s="108">
        <f t="shared" si="29"/>
        <v>23496.178814961662</v>
      </c>
      <c r="AN10" s="108">
        <f t="shared" si="29"/>
        <v>23496.178814961662</v>
      </c>
      <c r="AO10" s="108">
        <f t="shared" si="29"/>
        <v>23496.178814961662</v>
      </c>
      <c r="AP10" s="4" t="s">
        <v>122</v>
      </c>
    </row>
    <row r="11" spans="1:42" x14ac:dyDescent="0.3">
      <c r="A11" s="16"/>
      <c r="B11" s="16"/>
      <c r="C11" s="4" t="s">
        <v>78</v>
      </c>
      <c r="D11" s="15">
        <v>1500</v>
      </c>
      <c r="E11" s="15">
        <v>1500</v>
      </c>
      <c r="F11" s="15">
        <v>1500</v>
      </c>
      <c r="G11" s="15">
        <v>1500</v>
      </c>
      <c r="H11" s="15">
        <v>1500</v>
      </c>
      <c r="I11" s="15">
        <v>1500</v>
      </c>
      <c r="J11" s="15">
        <v>1500</v>
      </c>
      <c r="K11" s="15">
        <v>1500</v>
      </c>
      <c r="L11" s="15">
        <v>1500</v>
      </c>
      <c r="M11" s="15">
        <v>1500</v>
      </c>
      <c r="N11" s="15">
        <v>1500</v>
      </c>
      <c r="O11" s="15">
        <v>1500</v>
      </c>
      <c r="P11" s="15">
        <v>1500</v>
      </c>
      <c r="Q11" s="15">
        <v>1500</v>
      </c>
      <c r="R11" s="105">
        <f t="shared" ref="R11:R15" si="30">F11</f>
        <v>1500</v>
      </c>
      <c r="S11" s="105">
        <f t="shared" ref="S11:AO15" si="31">G11</f>
        <v>1500</v>
      </c>
      <c r="T11" s="105">
        <f t="shared" si="31"/>
        <v>1500</v>
      </c>
      <c r="U11" s="105">
        <f t="shared" si="31"/>
        <v>1500</v>
      </c>
      <c r="V11" s="105">
        <f t="shared" si="31"/>
        <v>1500</v>
      </c>
      <c r="W11" s="105">
        <f t="shared" si="31"/>
        <v>1500</v>
      </c>
      <c r="X11" s="105">
        <f t="shared" si="31"/>
        <v>1500</v>
      </c>
      <c r="Y11" s="105">
        <f t="shared" si="31"/>
        <v>1500</v>
      </c>
      <c r="Z11" s="105">
        <f t="shared" si="31"/>
        <v>1500</v>
      </c>
      <c r="AA11" s="105">
        <f t="shared" si="31"/>
        <v>1500</v>
      </c>
      <c r="AB11" s="105">
        <f t="shared" si="31"/>
        <v>1500</v>
      </c>
      <c r="AC11" s="105">
        <f t="shared" si="31"/>
        <v>1500</v>
      </c>
      <c r="AD11" s="108">
        <f t="shared" si="31"/>
        <v>1500</v>
      </c>
      <c r="AE11" s="108">
        <f t="shared" si="31"/>
        <v>1500</v>
      </c>
      <c r="AF11" s="108">
        <f t="shared" si="31"/>
        <v>1500</v>
      </c>
      <c r="AG11" s="108">
        <f t="shared" si="31"/>
        <v>1500</v>
      </c>
      <c r="AH11" s="108">
        <f t="shared" si="31"/>
        <v>1500</v>
      </c>
      <c r="AI11" s="108">
        <f t="shared" si="31"/>
        <v>1500</v>
      </c>
      <c r="AJ11" s="108">
        <f t="shared" si="31"/>
        <v>1500</v>
      </c>
      <c r="AK11" s="108">
        <f t="shared" si="31"/>
        <v>1500</v>
      </c>
      <c r="AL11" s="108">
        <f t="shared" si="31"/>
        <v>1500</v>
      </c>
      <c r="AM11" s="108">
        <f t="shared" si="31"/>
        <v>1500</v>
      </c>
      <c r="AN11" s="108">
        <f t="shared" si="31"/>
        <v>1500</v>
      </c>
      <c r="AO11" s="108">
        <f t="shared" si="31"/>
        <v>1500</v>
      </c>
    </row>
    <row r="12" spans="1:42" x14ac:dyDescent="0.3">
      <c r="A12" s="16"/>
      <c r="B12" s="16"/>
      <c r="C12" s="4" t="s">
        <v>11</v>
      </c>
      <c r="D12" s="15">
        <f>D9*0.0875</f>
        <v>3857.8749999999995</v>
      </c>
      <c r="E12" s="15">
        <f t="shared" ref="E12:AO12" si="32">E9*0.0875</f>
        <v>3857.8749999999995</v>
      </c>
      <c r="F12" s="15">
        <f t="shared" si="32"/>
        <v>5962.3374999999996</v>
      </c>
      <c r="G12" s="15">
        <f t="shared" si="32"/>
        <v>5962.3374999999996</v>
      </c>
      <c r="H12" s="15">
        <f t="shared" si="32"/>
        <v>5962.3374999999996</v>
      </c>
      <c r="I12" s="15">
        <f t="shared" si="32"/>
        <v>5962.3374999999996</v>
      </c>
      <c r="J12" s="15">
        <f t="shared" si="32"/>
        <v>5962.3374999999996</v>
      </c>
      <c r="K12" s="15">
        <f t="shared" si="32"/>
        <v>5962.3374999999996</v>
      </c>
      <c r="L12" s="15">
        <f t="shared" si="32"/>
        <v>5962.3374999999996</v>
      </c>
      <c r="M12" s="15">
        <f t="shared" si="32"/>
        <v>5962.3374999999996</v>
      </c>
      <c r="N12" s="15">
        <f t="shared" si="32"/>
        <v>5962.3374999999996</v>
      </c>
      <c r="O12" s="15">
        <f t="shared" si="32"/>
        <v>5962.3374999999996</v>
      </c>
      <c r="P12" s="15">
        <f t="shared" si="32"/>
        <v>5962.3374999999996</v>
      </c>
      <c r="Q12" s="15">
        <f t="shared" si="32"/>
        <v>5962.3374999999996</v>
      </c>
      <c r="R12" s="105">
        <f t="shared" si="32"/>
        <v>6141.2076249999991</v>
      </c>
      <c r="S12" s="105">
        <f t="shared" si="32"/>
        <v>6141.2076249999991</v>
      </c>
      <c r="T12" s="105">
        <f t="shared" si="32"/>
        <v>6141.2076249999991</v>
      </c>
      <c r="U12" s="105">
        <f t="shared" si="32"/>
        <v>6141.2076249999991</v>
      </c>
      <c r="V12" s="105">
        <f t="shared" si="32"/>
        <v>6141.2076249999991</v>
      </c>
      <c r="W12" s="105">
        <f t="shared" si="32"/>
        <v>6141.2076249999991</v>
      </c>
      <c r="X12" s="105">
        <f t="shared" si="32"/>
        <v>6141.2076249999991</v>
      </c>
      <c r="Y12" s="105">
        <f t="shared" si="32"/>
        <v>6141.2076249999991</v>
      </c>
      <c r="Z12" s="105">
        <f t="shared" si="32"/>
        <v>6141.2076249999991</v>
      </c>
      <c r="AA12" s="105">
        <f t="shared" si="32"/>
        <v>6141.2076249999991</v>
      </c>
      <c r="AB12" s="105">
        <f t="shared" si="32"/>
        <v>6141.2076249999991</v>
      </c>
      <c r="AC12" s="105">
        <f t="shared" si="32"/>
        <v>6141.2076249999991</v>
      </c>
      <c r="AD12" s="108">
        <f t="shared" si="32"/>
        <v>6325.4438537499991</v>
      </c>
      <c r="AE12" s="108">
        <f t="shared" si="32"/>
        <v>6325.4438537499991</v>
      </c>
      <c r="AF12" s="108">
        <f t="shared" si="32"/>
        <v>6325.4438537499991</v>
      </c>
      <c r="AG12" s="108">
        <f t="shared" si="32"/>
        <v>6325.4438537499991</v>
      </c>
      <c r="AH12" s="108">
        <f t="shared" si="32"/>
        <v>6325.4438537499991</v>
      </c>
      <c r="AI12" s="108">
        <f t="shared" si="32"/>
        <v>6325.4438537499991</v>
      </c>
      <c r="AJ12" s="108">
        <f t="shared" si="32"/>
        <v>6325.4438537499991</v>
      </c>
      <c r="AK12" s="108">
        <f t="shared" si="32"/>
        <v>6325.4438537499991</v>
      </c>
      <c r="AL12" s="108">
        <f t="shared" si="32"/>
        <v>6325.4438537499991</v>
      </c>
      <c r="AM12" s="108">
        <f t="shared" si="32"/>
        <v>6325.4438537499991</v>
      </c>
      <c r="AN12" s="108">
        <f t="shared" si="32"/>
        <v>6325.4438537499991</v>
      </c>
      <c r="AO12" s="108">
        <f t="shared" si="32"/>
        <v>6325.4438537499991</v>
      </c>
    </row>
    <row r="13" spans="1:42" x14ac:dyDescent="0.3">
      <c r="A13" s="16"/>
      <c r="B13" s="13" t="s">
        <v>12</v>
      </c>
      <c r="C13" s="1"/>
      <c r="D13" s="15">
        <v>0</v>
      </c>
      <c r="E13" s="15">
        <v>0</v>
      </c>
      <c r="R13" s="105">
        <f t="shared" si="30"/>
        <v>0</v>
      </c>
      <c r="S13" s="105">
        <f t="shared" si="31"/>
        <v>0</v>
      </c>
      <c r="T13" s="105">
        <f t="shared" si="31"/>
        <v>0</v>
      </c>
      <c r="U13" s="105">
        <f t="shared" si="31"/>
        <v>0</v>
      </c>
      <c r="V13" s="105">
        <f t="shared" si="31"/>
        <v>0</v>
      </c>
      <c r="W13" s="105">
        <f t="shared" si="31"/>
        <v>0</v>
      </c>
      <c r="X13" s="105">
        <f t="shared" si="31"/>
        <v>0</v>
      </c>
      <c r="Y13" s="105">
        <f t="shared" si="31"/>
        <v>0</v>
      </c>
      <c r="Z13" s="105">
        <f t="shared" si="31"/>
        <v>0</v>
      </c>
      <c r="AA13" s="105">
        <f t="shared" si="31"/>
        <v>0</v>
      </c>
      <c r="AB13" s="105">
        <f t="shared" si="31"/>
        <v>0</v>
      </c>
      <c r="AC13" s="105">
        <f t="shared" si="31"/>
        <v>0</v>
      </c>
      <c r="AD13" s="108">
        <f t="shared" si="31"/>
        <v>0</v>
      </c>
      <c r="AE13" s="108">
        <f t="shared" si="31"/>
        <v>0</v>
      </c>
      <c r="AF13" s="108">
        <f t="shared" si="31"/>
        <v>0</v>
      </c>
      <c r="AG13" s="108">
        <f t="shared" si="31"/>
        <v>0</v>
      </c>
      <c r="AH13" s="108">
        <f t="shared" si="31"/>
        <v>0</v>
      </c>
      <c r="AI13" s="108">
        <f t="shared" si="31"/>
        <v>0</v>
      </c>
      <c r="AJ13" s="108">
        <f t="shared" si="31"/>
        <v>0</v>
      </c>
      <c r="AK13" s="108">
        <f t="shared" si="31"/>
        <v>0</v>
      </c>
      <c r="AL13" s="108">
        <f t="shared" si="31"/>
        <v>0</v>
      </c>
      <c r="AM13" s="108">
        <f t="shared" si="31"/>
        <v>0</v>
      </c>
      <c r="AN13" s="108">
        <f t="shared" si="31"/>
        <v>0</v>
      </c>
      <c r="AO13" s="108">
        <f t="shared" si="31"/>
        <v>0</v>
      </c>
    </row>
    <row r="14" spans="1:42" x14ac:dyDescent="0.3">
      <c r="A14" s="16"/>
      <c r="B14" s="16"/>
      <c r="C14" s="15" t="s">
        <v>13</v>
      </c>
      <c r="D14" s="15">
        <v>36418.211679999993</v>
      </c>
      <c r="E14" s="15">
        <v>36418.211679999993</v>
      </c>
      <c r="F14" s="15">
        <v>32000</v>
      </c>
      <c r="G14" s="15">
        <v>32000</v>
      </c>
      <c r="H14" s="15">
        <v>32000</v>
      </c>
      <c r="I14" s="15">
        <v>30000</v>
      </c>
      <c r="J14" s="15">
        <v>30000</v>
      </c>
      <c r="K14" s="15">
        <v>30000</v>
      </c>
      <c r="L14" s="15">
        <v>30000</v>
      </c>
      <c r="M14" s="15">
        <v>30000</v>
      </c>
      <c r="N14" s="15">
        <v>28000</v>
      </c>
      <c r="O14" s="15">
        <v>28000</v>
      </c>
      <c r="P14" s="15">
        <v>28000</v>
      </c>
      <c r="Q14" s="15">
        <v>28000</v>
      </c>
      <c r="R14" s="105">
        <f>Q14+417</f>
        <v>28417</v>
      </c>
      <c r="S14" s="105">
        <f>R14</f>
        <v>28417</v>
      </c>
      <c r="T14" s="105">
        <f t="shared" ref="T14:AN14" si="33">S14+417</f>
        <v>28834</v>
      </c>
      <c r="U14" s="105">
        <f t="shared" ref="U14" si="34">T14</f>
        <v>28834</v>
      </c>
      <c r="V14" s="105">
        <f t="shared" si="33"/>
        <v>29251</v>
      </c>
      <c r="W14" s="105">
        <f t="shared" ref="W14" si="35">V14</f>
        <v>29251</v>
      </c>
      <c r="X14" s="105">
        <f t="shared" si="33"/>
        <v>29668</v>
      </c>
      <c r="Y14" s="105">
        <f t="shared" ref="Y14" si="36">X14</f>
        <v>29668</v>
      </c>
      <c r="Z14" s="105">
        <f t="shared" si="33"/>
        <v>30085</v>
      </c>
      <c r="AA14" s="105">
        <f t="shared" ref="AA14" si="37">Z14</f>
        <v>30085</v>
      </c>
      <c r="AB14" s="105">
        <f t="shared" si="33"/>
        <v>30502</v>
      </c>
      <c r="AC14" s="105">
        <f t="shared" ref="AC14" si="38">AB14</f>
        <v>30502</v>
      </c>
      <c r="AD14" s="108">
        <f t="shared" si="33"/>
        <v>30919</v>
      </c>
      <c r="AE14" s="108">
        <f t="shared" ref="AE14" si="39">AD14</f>
        <v>30919</v>
      </c>
      <c r="AF14" s="108">
        <f t="shared" si="33"/>
        <v>31336</v>
      </c>
      <c r="AG14" s="108">
        <f t="shared" ref="AG14" si="40">AF14</f>
        <v>31336</v>
      </c>
      <c r="AH14" s="108">
        <f t="shared" si="33"/>
        <v>31753</v>
      </c>
      <c r="AI14" s="108">
        <f t="shared" ref="AI14" si="41">AH14</f>
        <v>31753</v>
      </c>
      <c r="AJ14" s="108">
        <f t="shared" si="33"/>
        <v>32170</v>
      </c>
      <c r="AK14" s="108">
        <f t="shared" ref="AK14" si="42">AJ14</f>
        <v>32170</v>
      </c>
      <c r="AL14" s="108">
        <f t="shared" si="33"/>
        <v>32587</v>
      </c>
      <c r="AM14" s="108">
        <f t="shared" ref="AM14" si="43">AL14</f>
        <v>32587</v>
      </c>
      <c r="AN14" s="108">
        <f t="shared" si="33"/>
        <v>33004</v>
      </c>
      <c r="AO14" s="108">
        <f t="shared" ref="AO14" si="44">AN14</f>
        <v>33004</v>
      </c>
      <c r="AP14" s="4" t="s">
        <v>154</v>
      </c>
    </row>
    <row r="15" spans="1:42" s="16" customFormat="1" x14ac:dyDescent="0.3">
      <c r="A15" s="20" t="s">
        <v>15</v>
      </c>
      <c r="B15" s="20"/>
      <c r="C15" s="20"/>
      <c r="D15" s="11">
        <f t="shared" ref="D15:Q15" si="45">SUM(D7:D14)</f>
        <v>90866.086679999993</v>
      </c>
      <c r="E15" s="11">
        <f t="shared" si="45"/>
        <v>90866.086679999993</v>
      </c>
      <c r="F15" s="11">
        <f>SUM(F7:F14)</f>
        <v>171920.00416666665</v>
      </c>
      <c r="G15" s="11">
        <f t="shared" si="45"/>
        <v>172885.00416666665</v>
      </c>
      <c r="H15" s="11">
        <f t="shared" si="45"/>
        <v>127020.00416666667</v>
      </c>
      <c r="I15" s="11">
        <f t="shared" si="45"/>
        <v>182120.00416666665</v>
      </c>
      <c r="J15" s="11">
        <f t="shared" si="45"/>
        <v>202320.00416666665</v>
      </c>
      <c r="K15" s="11">
        <f t="shared" si="45"/>
        <v>259320.00416666665</v>
      </c>
      <c r="L15" s="11">
        <f t="shared" si="45"/>
        <v>130120.00416666667</v>
      </c>
      <c r="M15" s="11">
        <f t="shared" si="45"/>
        <v>159920.00416666665</v>
      </c>
      <c r="N15" s="11">
        <f t="shared" si="45"/>
        <v>159700.00416666668</v>
      </c>
      <c r="O15" s="11">
        <f t="shared" si="45"/>
        <v>163977.08749999997</v>
      </c>
      <c r="P15" s="11">
        <f t="shared" si="45"/>
        <v>168254.17083333337</v>
      </c>
      <c r="Q15" s="11">
        <f t="shared" si="45"/>
        <v>157531.25416666665</v>
      </c>
      <c r="R15" s="123">
        <f t="shared" si="30"/>
        <v>171920.00416666665</v>
      </c>
      <c r="S15" s="123">
        <f t="shared" si="31"/>
        <v>172885.00416666665</v>
      </c>
      <c r="T15" s="123">
        <f t="shared" si="31"/>
        <v>127020.00416666667</v>
      </c>
      <c r="U15" s="123">
        <f t="shared" si="31"/>
        <v>182120.00416666665</v>
      </c>
      <c r="V15" s="123">
        <f t="shared" si="31"/>
        <v>202320.00416666665</v>
      </c>
      <c r="W15" s="123">
        <f t="shared" si="31"/>
        <v>259320.00416666665</v>
      </c>
      <c r="X15" s="123">
        <f t="shared" si="31"/>
        <v>130120.00416666667</v>
      </c>
      <c r="Y15" s="123">
        <f t="shared" si="31"/>
        <v>159920.00416666665</v>
      </c>
      <c r="Z15" s="123">
        <f t="shared" si="31"/>
        <v>159700.00416666668</v>
      </c>
      <c r="AA15" s="123">
        <f t="shared" si="31"/>
        <v>163977.08749999997</v>
      </c>
      <c r="AB15" s="123">
        <f t="shared" si="31"/>
        <v>168254.17083333337</v>
      </c>
      <c r="AC15" s="123">
        <f t="shared" si="31"/>
        <v>157531.25416666665</v>
      </c>
      <c r="AD15" s="124">
        <f t="shared" si="31"/>
        <v>171920.00416666665</v>
      </c>
      <c r="AE15" s="124">
        <f t="shared" si="31"/>
        <v>172885.00416666665</v>
      </c>
      <c r="AF15" s="124">
        <f t="shared" si="31"/>
        <v>127020.00416666667</v>
      </c>
      <c r="AG15" s="124">
        <f t="shared" si="31"/>
        <v>182120.00416666665</v>
      </c>
      <c r="AH15" s="124">
        <f t="shared" si="31"/>
        <v>202320.00416666665</v>
      </c>
      <c r="AI15" s="124">
        <f t="shared" si="31"/>
        <v>259320.00416666665</v>
      </c>
      <c r="AJ15" s="124">
        <f t="shared" si="31"/>
        <v>130120.00416666667</v>
      </c>
      <c r="AK15" s="124">
        <f t="shared" si="31"/>
        <v>159920.00416666665</v>
      </c>
      <c r="AL15" s="124">
        <f t="shared" si="31"/>
        <v>159700.00416666668</v>
      </c>
      <c r="AM15" s="124">
        <f t="shared" si="31"/>
        <v>163977.08749999997</v>
      </c>
      <c r="AN15" s="124">
        <f t="shared" si="31"/>
        <v>168254.17083333337</v>
      </c>
      <c r="AO15" s="124">
        <f t="shared" si="31"/>
        <v>157531.25416666665</v>
      </c>
      <c r="AP15" s="10"/>
    </row>
    <row r="16" spans="1:42" x14ac:dyDescent="0.3">
      <c r="A16" s="10" t="s">
        <v>16</v>
      </c>
      <c r="C16" s="10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</row>
    <row r="17" spans="1:42" x14ac:dyDescent="0.3">
      <c r="B17" s="13" t="s">
        <v>17</v>
      </c>
      <c r="C17" s="1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</row>
    <row r="18" spans="1:42" x14ac:dyDescent="0.3">
      <c r="A18" s="16"/>
      <c r="B18" s="16"/>
      <c r="C18" s="4" t="s">
        <v>97</v>
      </c>
      <c r="D18" s="15">
        <f>-868635.556864/52*4</f>
        <v>-66818.11975876923</v>
      </c>
      <c r="E18" s="15">
        <f>-868635.556864/52*4</f>
        <v>-66818.11975876923</v>
      </c>
      <c r="F18" s="15">
        <f>-868635.556864/52*5</f>
        <v>-83522.649698461537</v>
      </c>
      <c r="G18" s="15">
        <f>-868635.556864/52*4</f>
        <v>-66818.11975876923</v>
      </c>
      <c r="H18" s="15">
        <f>-868635.556864/52*4</f>
        <v>-66818.11975876923</v>
      </c>
      <c r="I18" s="15">
        <f>-868635.556864/52*5</f>
        <v>-83522.649698461537</v>
      </c>
      <c r="J18" s="15">
        <f>-868635.556864/52*4</f>
        <v>-66818.11975876923</v>
      </c>
      <c r="K18" s="15">
        <v>-66818</v>
      </c>
      <c r="L18" s="15">
        <v>-83523</v>
      </c>
      <c r="M18" s="15">
        <f>-868635.556864/52*4</f>
        <v>-66818.11975876923</v>
      </c>
      <c r="N18" s="15">
        <f>-868635.556864/52*4</f>
        <v>-66818.11975876923</v>
      </c>
      <c r="O18" s="15">
        <f>-868635.556864/52*5</f>
        <v>-83522.649698461537</v>
      </c>
      <c r="P18" s="15">
        <f>-868635.556864/52*4</f>
        <v>-66818.11975876923</v>
      </c>
      <c r="Q18" s="15">
        <f>-868635.556864/52*4</f>
        <v>-66818.11975876923</v>
      </c>
      <c r="R18" s="105">
        <f>(F18*1.03)-4333</f>
        <v>-90361.329189415381</v>
      </c>
      <c r="S18" s="105">
        <f t="shared" ref="S18:AO18" si="46">(G18*1.03)-4333</f>
        <v>-73155.663351532305</v>
      </c>
      <c r="T18" s="105">
        <f t="shared" si="46"/>
        <v>-73155.663351532305</v>
      </c>
      <c r="U18" s="105">
        <f t="shared" si="46"/>
        <v>-90361.329189415381</v>
      </c>
      <c r="V18" s="105">
        <f t="shared" si="46"/>
        <v>-73155.663351532305</v>
      </c>
      <c r="W18" s="105">
        <f t="shared" si="46"/>
        <v>-73155.540000000008</v>
      </c>
      <c r="X18" s="105">
        <f t="shared" si="46"/>
        <v>-90361.69</v>
      </c>
      <c r="Y18" s="105">
        <f t="shared" si="46"/>
        <v>-73155.663351532305</v>
      </c>
      <c r="Z18" s="105">
        <f t="shared" si="46"/>
        <v>-73155.663351532305</v>
      </c>
      <c r="AA18" s="105">
        <f t="shared" si="46"/>
        <v>-90361.329189415381</v>
      </c>
      <c r="AB18" s="105">
        <f t="shared" si="46"/>
        <v>-73155.663351532305</v>
      </c>
      <c r="AC18" s="105">
        <f t="shared" si="46"/>
        <v>-73155.663351532305</v>
      </c>
      <c r="AD18" s="108">
        <f t="shared" si="46"/>
        <v>-97405.169065097842</v>
      </c>
      <c r="AE18" s="108">
        <f t="shared" si="46"/>
        <v>-79683.333252078271</v>
      </c>
      <c r="AF18" s="108">
        <f t="shared" si="46"/>
        <v>-79683.333252078271</v>
      </c>
      <c r="AG18" s="108">
        <f t="shared" si="46"/>
        <v>-97405.169065097842</v>
      </c>
      <c r="AH18" s="108">
        <f t="shared" si="46"/>
        <v>-79683.333252078271</v>
      </c>
      <c r="AI18" s="108">
        <f t="shared" si="46"/>
        <v>-79683.206200000015</v>
      </c>
      <c r="AJ18" s="108">
        <f t="shared" si="46"/>
        <v>-97405.540699999998</v>
      </c>
      <c r="AK18" s="108">
        <f t="shared" si="46"/>
        <v>-79683.333252078271</v>
      </c>
      <c r="AL18" s="108">
        <f t="shared" si="46"/>
        <v>-79683.333252078271</v>
      </c>
      <c r="AM18" s="108">
        <f t="shared" si="46"/>
        <v>-97405.169065097842</v>
      </c>
      <c r="AN18" s="108">
        <f t="shared" si="46"/>
        <v>-79683.333252078271</v>
      </c>
      <c r="AO18" s="108">
        <f t="shared" si="46"/>
        <v>-79683.333252078271</v>
      </c>
      <c r="AP18" s="4" t="s">
        <v>111</v>
      </c>
    </row>
    <row r="19" spans="1:42" x14ac:dyDescent="0.3">
      <c r="A19" s="16"/>
      <c r="B19" s="16"/>
      <c r="C19" s="4" t="s">
        <v>91</v>
      </c>
      <c r="D19" s="15">
        <f>-73406/52*4</f>
        <v>-5646.6153846153848</v>
      </c>
      <c r="E19" s="15">
        <f>-73406/52*4</f>
        <v>-5646.6153846153848</v>
      </c>
      <c r="F19" s="15">
        <f>-73406/52*5</f>
        <v>-7058.2692307692305</v>
      </c>
      <c r="G19" s="15">
        <f>-73406/52*4</f>
        <v>-5646.6153846153848</v>
      </c>
      <c r="H19" s="15">
        <f>-73406/52*4</f>
        <v>-5646.6153846153848</v>
      </c>
      <c r="I19" s="15">
        <f>-73406/52*5</f>
        <v>-7058.2692307692305</v>
      </c>
      <c r="J19" s="15">
        <f>-73406/52*4</f>
        <v>-5646.6153846153848</v>
      </c>
      <c r="K19" s="15">
        <f>-73406/52*5</f>
        <v>-7058.2692307692305</v>
      </c>
      <c r="L19" s="15">
        <f>-73406/52*4</f>
        <v>-5646.6153846153848</v>
      </c>
      <c r="M19" s="15">
        <f>-73406/52*4</f>
        <v>-5646.6153846153848</v>
      </c>
      <c r="N19" s="15">
        <f>-73406/52*4</f>
        <v>-5646.6153846153848</v>
      </c>
      <c r="O19" s="15">
        <f>-73406/52*5</f>
        <v>-7058.2692307692305</v>
      </c>
      <c r="P19" s="15">
        <f>-73406/52*4</f>
        <v>-5646.6153846153848</v>
      </c>
      <c r="Q19" s="15">
        <f>-73406/52*4</f>
        <v>-5646.6153846153848</v>
      </c>
      <c r="R19" s="105">
        <f>R18*0.085</f>
        <v>-7680.7129811003078</v>
      </c>
      <c r="S19" s="105">
        <f t="shared" ref="S19:AO19" si="47">S18*0.085</f>
        <v>-6218.231384880246</v>
      </c>
      <c r="T19" s="105">
        <f t="shared" si="47"/>
        <v>-6218.231384880246</v>
      </c>
      <c r="U19" s="105">
        <f t="shared" si="47"/>
        <v>-7680.7129811003078</v>
      </c>
      <c r="V19" s="105">
        <f t="shared" si="47"/>
        <v>-6218.231384880246</v>
      </c>
      <c r="W19" s="105">
        <f t="shared" si="47"/>
        <v>-6218.2209000000012</v>
      </c>
      <c r="X19" s="105">
        <f t="shared" si="47"/>
        <v>-7680.7436500000003</v>
      </c>
      <c r="Y19" s="105">
        <f t="shared" si="47"/>
        <v>-6218.231384880246</v>
      </c>
      <c r="Z19" s="105">
        <f t="shared" si="47"/>
        <v>-6218.231384880246</v>
      </c>
      <c r="AA19" s="105">
        <f t="shared" si="47"/>
        <v>-7680.7129811003078</v>
      </c>
      <c r="AB19" s="105">
        <f t="shared" si="47"/>
        <v>-6218.231384880246</v>
      </c>
      <c r="AC19" s="105">
        <f t="shared" si="47"/>
        <v>-6218.231384880246</v>
      </c>
      <c r="AD19" s="108">
        <f t="shared" si="47"/>
        <v>-8279.4393705333168</v>
      </c>
      <c r="AE19" s="108">
        <f t="shared" si="47"/>
        <v>-6773.0833264266539</v>
      </c>
      <c r="AF19" s="108">
        <f t="shared" si="47"/>
        <v>-6773.0833264266539</v>
      </c>
      <c r="AG19" s="108">
        <f t="shared" si="47"/>
        <v>-8279.4393705333168</v>
      </c>
      <c r="AH19" s="108">
        <f t="shared" si="47"/>
        <v>-6773.0833264266539</v>
      </c>
      <c r="AI19" s="108">
        <f t="shared" si="47"/>
        <v>-6773.0725270000021</v>
      </c>
      <c r="AJ19" s="108">
        <f t="shared" si="47"/>
        <v>-8279.4709595000004</v>
      </c>
      <c r="AK19" s="108">
        <f t="shared" si="47"/>
        <v>-6773.0833264266539</v>
      </c>
      <c r="AL19" s="108">
        <f t="shared" si="47"/>
        <v>-6773.0833264266539</v>
      </c>
      <c r="AM19" s="108">
        <f t="shared" si="47"/>
        <v>-8279.4393705333168</v>
      </c>
      <c r="AN19" s="108">
        <f t="shared" si="47"/>
        <v>-6773.0833264266539</v>
      </c>
      <c r="AO19" s="108">
        <f t="shared" si="47"/>
        <v>-6773.0833264266539</v>
      </c>
    </row>
    <row r="20" spans="1:42" x14ac:dyDescent="0.3">
      <c r="A20" s="16"/>
      <c r="B20" s="16"/>
      <c r="C20" s="4" t="s">
        <v>90</v>
      </c>
      <c r="D20" s="15">
        <f>-95720/52*4</f>
        <v>-7363.0769230769229</v>
      </c>
      <c r="E20" s="15">
        <f>-95720/52*4</f>
        <v>-7363.0769230769229</v>
      </c>
      <c r="F20" s="15">
        <f>-95720/52*5</f>
        <v>-9203.8461538461543</v>
      </c>
      <c r="G20" s="15">
        <f>-95720/52*4</f>
        <v>-7363.0769230769229</v>
      </c>
      <c r="H20" s="15">
        <f>-95720/52*4</f>
        <v>-7363.0769230769229</v>
      </c>
      <c r="I20" s="15">
        <f>-95720/52*5</f>
        <v>-9203.8461538461543</v>
      </c>
      <c r="J20" s="15">
        <f>-95720/52*4</f>
        <v>-7363.0769230769229</v>
      </c>
      <c r="K20" s="15">
        <f>-(95720/52*5)-15000</f>
        <v>-24203.846153846156</v>
      </c>
      <c r="L20" s="15">
        <f>-95720/52*4</f>
        <v>-7363.0769230769229</v>
      </c>
      <c r="M20" s="15">
        <f>-95720/52*4</f>
        <v>-7363.0769230769229</v>
      </c>
      <c r="N20" s="15">
        <f>-95720/52*4</f>
        <v>-7363.0769230769229</v>
      </c>
      <c r="O20" s="15">
        <f>-95720/52*5</f>
        <v>-9203.8461538461543</v>
      </c>
      <c r="P20" s="15">
        <f>-95720/52*4</f>
        <v>-7363.0769230769229</v>
      </c>
      <c r="Q20" s="15">
        <f>-95720/52*4</f>
        <v>-7363.0769230769229</v>
      </c>
      <c r="R20" s="105">
        <f>R18*0.115</f>
        <v>-10391.55285678277</v>
      </c>
      <c r="S20" s="105">
        <f t="shared" ref="S20:AO20" si="48">S18*0.115</f>
        <v>-8412.9012854262146</v>
      </c>
      <c r="T20" s="105">
        <f t="shared" si="48"/>
        <v>-8412.9012854262146</v>
      </c>
      <c r="U20" s="105">
        <f t="shared" si="48"/>
        <v>-10391.55285678277</v>
      </c>
      <c r="V20" s="105">
        <f t="shared" si="48"/>
        <v>-8412.9012854262146</v>
      </c>
      <c r="W20" s="105">
        <f t="shared" si="48"/>
        <v>-8412.8871000000017</v>
      </c>
      <c r="X20" s="105">
        <f t="shared" si="48"/>
        <v>-10391.594350000001</v>
      </c>
      <c r="Y20" s="105">
        <f t="shared" si="48"/>
        <v>-8412.9012854262146</v>
      </c>
      <c r="Z20" s="105">
        <f t="shared" si="48"/>
        <v>-8412.9012854262146</v>
      </c>
      <c r="AA20" s="105">
        <f t="shared" si="48"/>
        <v>-10391.55285678277</v>
      </c>
      <c r="AB20" s="105">
        <f t="shared" si="48"/>
        <v>-8412.9012854262146</v>
      </c>
      <c r="AC20" s="105">
        <f t="shared" si="48"/>
        <v>-8412.9012854262146</v>
      </c>
      <c r="AD20" s="108">
        <f t="shared" si="48"/>
        <v>-11201.594442486252</v>
      </c>
      <c r="AE20" s="108">
        <f t="shared" si="48"/>
        <v>-9163.5833239890017</v>
      </c>
      <c r="AF20" s="108">
        <f t="shared" si="48"/>
        <v>-9163.5833239890017</v>
      </c>
      <c r="AG20" s="108">
        <f t="shared" si="48"/>
        <v>-11201.594442486252</v>
      </c>
      <c r="AH20" s="108">
        <f t="shared" si="48"/>
        <v>-9163.5833239890017</v>
      </c>
      <c r="AI20" s="108">
        <f>AI18*0.115-30000</f>
        <v>-39163.568713000001</v>
      </c>
      <c r="AJ20" s="108">
        <f t="shared" si="48"/>
        <v>-11201.6371805</v>
      </c>
      <c r="AK20" s="108">
        <f t="shared" si="48"/>
        <v>-9163.5833239890017</v>
      </c>
      <c r="AL20" s="108">
        <f t="shared" si="48"/>
        <v>-9163.5833239890017</v>
      </c>
      <c r="AM20" s="108">
        <f t="shared" si="48"/>
        <v>-11201.594442486252</v>
      </c>
      <c r="AN20" s="108">
        <f t="shared" si="48"/>
        <v>-9163.5833239890017</v>
      </c>
      <c r="AO20" s="108">
        <f t="shared" si="48"/>
        <v>-9163.5833239890017</v>
      </c>
      <c r="AP20" s="4" t="s">
        <v>110</v>
      </c>
    </row>
    <row r="21" spans="1:42" x14ac:dyDescent="0.3">
      <c r="A21" s="16"/>
      <c r="B21" s="16"/>
      <c r="C21" s="4" t="s">
        <v>92</v>
      </c>
      <c r="D21" s="15"/>
      <c r="E21" s="15">
        <f>-80997.3408743552/12</f>
        <v>-6749.7784061962666</v>
      </c>
      <c r="F21" s="15">
        <f t="shared" ref="F21:Q21" si="49">-80997.3408743552/12</f>
        <v>-6749.7784061962666</v>
      </c>
      <c r="G21" s="15">
        <f t="shared" si="49"/>
        <v>-6749.7784061962666</v>
      </c>
      <c r="H21" s="15">
        <f t="shared" si="49"/>
        <v>-6749.7784061962666</v>
      </c>
      <c r="I21" s="15">
        <f t="shared" si="49"/>
        <v>-6749.7784061962666</v>
      </c>
      <c r="J21" s="15">
        <f t="shared" si="49"/>
        <v>-6749.7784061962666</v>
      </c>
      <c r="K21" s="15">
        <f t="shared" si="49"/>
        <v>-6749.7784061962666</v>
      </c>
      <c r="L21" s="15">
        <f t="shared" si="49"/>
        <v>-6749.7784061962666</v>
      </c>
      <c r="M21" s="15">
        <f t="shared" si="49"/>
        <v>-6749.7784061962666</v>
      </c>
      <c r="N21" s="15">
        <f t="shared" si="49"/>
        <v>-6749.7784061962666</v>
      </c>
      <c r="O21" s="15">
        <f t="shared" si="49"/>
        <v>-6749.7784061962666</v>
      </c>
      <c r="P21" s="15">
        <f t="shared" si="49"/>
        <v>-6749.7784061962666</v>
      </c>
      <c r="Q21" s="15">
        <f t="shared" si="49"/>
        <v>-6749.7784061962666</v>
      </c>
      <c r="R21" s="105">
        <f>F21*1.05</f>
        <v>-7087.2673265060803</v>
      </c>
      <c r="S21" s="105">
        <f t="shared" ref="S21:AO22" si="50">G21*1.05</f>
        <v>-7087.2673265060803</v>
      </c>
      <c r="T21" s="105">
        <f t="shared" si="50"/>
        <v>-7087.2673265060803</v>
      </c>
      <c r="U21" s="105">
        <f t="shared" si="50"/>
        <v>-7087.2673265060803</v>
      </c>
      <c r="V21" s="105">
        <f t="shared" si="50"/>
        <v>-7087.2673265060803</v>
      </c>
      <c r="W21" s="105">
        <f>K21*1.05-30000</f>
        <v>-37087.26732650608</v>
      </c>
      <c r="X21" s="105">
        <f t="shared" si="50"/>
        <v>-7087.2673265060803</v>
      </c>
      <c r="Y21" s="105">
        <f t="shared" si="50"/>
        <v>-7087.2673265060803</v>
      </c>
      <c r="Z21" s="105">
        <f t="shared" si="50"/>
        <v>-7087.2673265060803</v>
      </c>
      <c r="AA21" s="105">
        <f t="shared" si="50"/>
        <v>-7087.2673265060803</v>
      </c>
      <c r="AB21" s="105">
        <f t="shared" si="50"/>
        <v>-7087.2673265060803</v>
      </c>
      <c r="AC21" s="105">
        <f t="shared" si="50"/>
        <v>-7087.2673265060803</v>
      </c>
      <c r="AD21" s="108">
        <f t="shared" si="50"/>
        <v>-7441.6306928313843</v>
      </c>
      <c r="AE21" s="108">
        <f t="shared" si="50"/>
        <v>-7441.6306928313843</v>
      </c>
      <c r="AF21" s="108">
        <f t="shared" si="50"/>
        <v>-7441.6306928313843</v>
      </c>
      <c r="AG21" s="108">
        <f t="shared" si="50"/>
        <v>-7441.6306928313843</v>
      </c>
      <c r="AH21" s="108">
        <f t="shared" si="50"/>
        <v>-7441.6306928313843</v>
      </c>
      <c r="AI21" s="108">
        <f t="shared" si="50"/>
        <v>-38941.630692831386</v>
      </c>
      <c r="AJ21" s="108">
        <f t="shared" si="50"/>
        <v>-7441.6306928313843</v>
      </c>
      <c r="AK21" s="108">
        <f t="shared" si="50"/>
        <v>-7441.6306928313843</v>
      </c>
      <c r="AL21" s="108">
        <f t="shared" si="50"/>
        <v>-7441.6306928313843</v>
      </c>
      <c r="AM21" s="108">
        <f t="shared" si="50"/>
        <v>-7441.6306928313843</v>
      </c>
      <c r="AN21" s="108">
        <f t="shared" si="50"/>
        <v>-7441.6306928313843</v>
      </c>
      <c r="AO21" s="108">
        <f t="shared" si="50"/>
        <v>-7441.6306928313843</v>
      </c>
      <c r="AP21" s="4" t="s">
        <v>109</v>
      </c>
    </row>
    <row r="22" spans="1:42" x14ac:dyDescent="0.3">
      <c r="A22" s="16"/>
      <c r="B22" s="16"/>
      <c r="C22" s="4" t="s">
        <v>19</v>
      </c>
      <c r="D22" s="15">
        <f>-125109.553333333/12</f>
        <v>-10425.796111111084</v>
      </c>
      <c r="E22" s="15">
        <f>-125109.553333333/12</f>
        <v>-10425.796111111084</v>
      </c>
      <c r="F22" s="15">
        <f t="shared" ref="F22:Q22" si="51">-125109.553333333/12</f>
        <v>-10425.796111111084</v>
      </c>
      <c r="G22" s="15">
        <f t="shared" si="51"/>
        <v>-10425.796111111084</v>
      </c>
      <c r="H22" s="15">
        <f t="shared" si="51"/>
        <v>-10425.796111111084</v>
      </c>
      <c r="I22" s="15">
        <f t="shared" si="51"/>
        <v>-10425.796111111084</v>
      </c>
      <c r="J22" s="15">
        <f t="shared" si="51"/>
        <v>-10425.796111111084</v>
      </c>
      <c r="K22" s="15">
        <f t="shared" si="51"/>
        <v>-10425.796111111084</v>
      </c>
      <c r="L22" s="15">
        <f t="shared" si="51"/>
        <v>-10425.796111111084</v>
      </c>
      <c r="M22" s="15">
        <f t="shared" si="51"/>
        <v>-10425.796111111084</v>
      </c>
      <c r="N22" s="15">
        <f t="shared" si="51"/>
        <v>-10425.796111111084</v>
      </c>
      <c r="O22" s="15">
        <f t="shared" si="51"/>
        <v>-10425.796111111084</v>
      </c>
      <c r="P22" s="15">
        <f t="shared" si="51"/>
        <v>-10425.796111111084</v>
      </c>
      <c r="Q22" s="15">
        <f t="shared" si="51"/>
        <v>-10425.796111111084</v>
      </c>
      <c r="R22" s="105">
        <f>F22*1.05</f>
        <v>-10947.085916666638</v>
      </c>
      <c r="S22" s="105">
        <f t="shared" si="50"/>
        <v>-10947.085916666638</v>
      </c>
      <c r="T22" s="105">
        <f t="shared" si="50"/>
        <v>-10947.085916666638</v>
      </c>
      <c r="U22" s="105">
        <f t="shared" si="50"/>
        <v>-10947.085916666638</v>
      </c>
      <c r="V22" s="105">
        <f t="shared" si="50"/>
        <v>-10947.085916666638</v>
      </c>
      <c r="W22" s="105">
        <f t="shared" si="50"/>
        <v>-10947.085916666638</v>
      </c>
      <c r="X22" s="105">
        <f t="shared" si="50"/>
        <v>-10947.085916666638</v>
      </c>
      <c r="Y22" s="105">
        <f t="shared" si="50"/>
        <v>-10947.085916666638</v>
      </c>
      <c r="Z22" s="105">
        <f t="shared" si="50"/>
        <v>-10947.085916666638</v>
      </c>
      <c r="AA22" s="105">
        <f t="shared" si="50"/>
        <v>-10947.085916666638</v>
      </c>
      <c r="AB22" s="105">
        <f t="shared" si="50"/>
        <v>-10947.085916666638</v>
      </c>
      <c r="AC22" s="105">
        <f t="shared" si="50"/>
        <v>-10947.085916666638</v>
      </c>
      <c r="AD22" s="108">
        <f t="shared" si="50"/>
        <v>-11494.440212499971</v>
      </c>
      <c r="AE22" s="108">
        <f t="shared" si="50"/>
        <v>-11494.440212499971</v>
      </c>
      <c r="AF22" s="108">
        <f t="shared" si="50"/>
        <v>-11494.440212499971</v>
      </c>
      <c r="AG22" s="108">
        <f t="shared" si="50"/>
        <v>-11494.440212499971</v>
      </c>
      <c r="AH22" s="108">
        <f t="shared" si="50"/>
        <v>-11494.440212499971</v>
      </c>
      <c r="AI22" s="108">
        <f t="shared" si="50"/>
        <v>-11494.440212499971</v>
      </c>
      <c r="AJ22" s="108">
        <f t="shared" si="50"/>
        <v>-11494.440212499971</v>
      </c>
      <c r="AK22" s="108">
        <f t="shared" si="50"/>
        <v>-11494.440212499971</v>
      </c>
      <c r="AL22" s="108">
        <f t="shared" si="50"/>
        <v>-11494.440212499971</v>
      </c>
      <c r="AM22" s="108">
        <f t="shared" si="50"/>
        <v>-11494.440212499971</v>
      </c>
      <c r="AN22" s="108">
        <f t="shared" si="50"/>
        <v>-11494.440212499971</v>
      </c>
      <c r="AO22" s="108">
        <f t="shared" si="50"/>
        <v>-11494.440212499971</v>
      </c>
      <c r="AP22" s="4" t="s">
        <v>109</v>
      </c>
    </row>
    <row r="23" spans="1:42" x14ac:dyDescent="0.3">
      <c r="A23" s="16"/>
      <c r="B23" s="16"/>
      <c r="C23" s="4" t="s">
        <v>20</v>
      </c>
      <c r="D23" s="15">
        <v>-25000</v>
      </c>
      <c r="E23" s="15">
        <v>-35000</v>
      </c>
      <c r="F23" s="4">
        <f>-25000</f>
        <v>-25000</v>
      </c>
      <c r="G23" s="4">
        <v>0</v>
      </c>
      <c r="H23" s="4">
        <v>0</v>
      </c>
      <c r="I23" s="4">
        <f>-36000/3</f>
        <v>-12000</v>
      </c>
      <c r="J23" s="4">
        <v>0</v>
      </c>
      <c r="K23" s="4">
        <v>0</v>
      </c>
      <c r="L23" s="4">
        <f>-36000/3</f>
        <v>-12000</v>
      </c>
      <c r="N23" s="4">
        <v>0</v>
      </c>
      <c r="O23" s="4">
        <v>-12000</v>
      </c>
      <c r="P23" s="4">
        <f t="shared" ref="P23" si="52">G23*1.03</f>
        <v>0</v>
      </c>
      <c r="Q23" s="4">
        <v>-7000</v>
      </c>
      <c r="R23" s="105">
        <f t="shared" ref="R23" si="53">F23</f>
        <v>-25000</v>
      </c>
      <c r="S23" s="105">
        <f t="shared" ref="S23:S27" si="54">G23</f>
        <v>0</v>
      </c>
      <c r="T23" s="105">
        <f t="shared" ref="T23:T27" si="55">H23</f>
        <v>0</v>
      </c>
      <c r="U23" s="105">
        <f t="shared" ref="U23:U27" si="56">I23</f>
        <v>-12000</v>
      </c>
      <c r="V23" s="105">
        <f t="shared" ref="V23:V27" si="57">J23</f>
        <v>0</v>
      </c>
      <c r="W23" s="105">
        <f t="shared" ref="W23:W27" si="58">K23</f>
        <v>0</v>
      </c>
      <c r="X23" s="105">
        <f t="shared" ref="X23:X27" si="59">L23</f>
        <v>-12000</v>
      </c>
      <c r="Y23" s="105">
        <f t="shared" ref="Y23:Y27" si="60">M23</f>
        <v>0</v>
      </c>
      <c r="Z23" s="105">
        <f t="shared" ref="Z23:Z27" si="61">N23</f>
        <v>0</v>
      </c>
      <c r="AA23" s="105">
        <f t="shared" ref="AA23:AA27" si="62">O23</f>
        <v>-12000</v>
      </c>
      <c r="AB23" s="105">
        <f t="shared" ref="AB23:AB27" si="63">P23</f>
        <v>0</v>
      </c>
      <c r="AC23" s="105">
        <f t="shared" ref="AC23:AC27" si="64">Q23</f>
        <v>-7000</v>
      </c>
      <c r="AD23" s="108">
        <f t="shared" ref="AD23:AD27" si="65">R23</f>
        <v>-25000</v>
      </c>
      <c r="AE23" s="108">
        <f t="shared" ref="AE23:AE27" si="66">S23</f>
        <v>0</v>
      </c>
      <c r="AF23" s="108">
        <f t="shared" ref="AF23:AF27" si="67">T23</f>
        <v>0</v>
      </c>
      <c r="AG23" s="108">
        <f t="shared" ref="AG23:AG27" si="68">U23</f>
        <v>-12000</v>
      </c>
      <c r="AH23" s="108">
        <f t="shared" ref="AH23:AH27" si="69">V23</f>
        <v>0</v>
      </c>
      <c r="AI23" s="108">
        <f t="shared" ref="AI23:AI27" si="70">W23</f>
        <v>0</v>
      </c>
      <c r="AJ23" s="108">
        <f t="shared" ref="AJ23:AJ27" si="71">X23</f>
        <v>-12000</v>
      </c>
      <c r="AK23" s="108">
        <f t="shared" ref="AK23:AK27" si="72">Y23</f>
        <v>0</v>
      </c>
      <c r="AL23" s="108">
        <f t="shared" ref="AL23:AL27" si="73">Z23</f>
        <v>0</v>
      </c>
      <c r="AM23" s="108">
        <f t="shared" ref="AM23:AM27" si="74">AA23</f>
        <v>-12000</v>
      </c>
      <c r="AN23" s="108">
        <f t="shared" ref="AN23:AN27" si="75">AB23</f>
        <v>0</v>
      </c>
      <c r="AO23" s="108">
        <f t="shared" ref="AO23:AO27" si="76">AC23</f>
        <v>-7000</v>
      </c>
      <c r="AP23" s="4" t="s">
        <v>123</v>
      </c>
    </row>
    <row r="24" spans="1:42" x14ac:dyDescent="0.3">
      <c r="A24" s="16"/>
      <c r="B24" s="16"/>
      <c r="C24" s="4" t="s">
        <v>21</v>
      </c>
      <c r="D24" s="15">
        <f>-64614.1416666667/12</f>
        <v>-5384.5118055555586</v>
      </c>
      <c r="E24" s="15">
        <f t="shared" ref="E24:Q24" si="77">-64614.1416666667/12</f>
        <v>-5384.5118055555586</v>
      </c>
      <c r="F24" s="15">
        <f t="shared" si="77"/>
        <v>-5384.5118055555586</v>
      </c>
      <c r="G24" s="15">
        <f t="shared" si="77"/>
        <v>-5384.5118055555586</v>
      </c>
      <c r="H24" s="15">
        <f t="shared" si="77"/>
        <v>-5384.5118055555586</v>
      </c>
      <c r="I24" s="15">
        <f t="shared" si="77"/>
        <v>-5384.5118055555586</v>
      </c>
      <c r="J24" s="15">
        <f t="shared" si="77"/>
        <v>-5384.5118055555586</v>
      </c>
      <c r="K24" s="15">
        <f t="shared" si="77"/>
        <v>-5384.5118055555586</v>
      </c>
      <c r="L24" s="15">
        <f t="shared" si="77"/>
        <v>-5384.5118055555586</v>
      </c>
      <c r="M24" s="15">
        <f t="shared" si="77"/>
        <v>-5384.5118055555586</v>
      </c>
      <c r="N24" s="15">
        <f t="shared" si="77"/>
        <v>-5384.5118055555586</v>
      </c>
      <c r="O24" s="15">
        <f t="shared" si="77"/>
        <v>-5384.5118055555586</v>
      </c>
      <c r="P24" s="15">
        <f t="shared" si="77"/>
        <v>-5384.5118055555586</v>
      </c>
      <c r="Q24" s="15">
        <f t="shared" si="77"/>
        <v>-5384.5118055555586</v>
      </c>
      <c r="R24" s="105">
        <f>F24*1.05</f>
        <v>-5653.7373958333364</v>
      </c>
      <c r="S24" s="105">
        <f t="shared" ref="S24:AO24" si="78">G24*1.05</f>
        <v>-5653.7373958333364</v>
      </c>
      <c r="T24" s="105">
        <f t="shared" si="78"/>
        <v>-5653.7373958333364</v>
      </c>
      <c r="U24" s="105">
        <f t="shared" si="78"/>
        <v>-5653.7373958333364</v>
      </c>
      <c r="V24" s="105">
        <f t="shared" si="78"/>
        <v>-5653.7373958333364</v>
      </c>
      <c r="W24" s="105">
        <f t="shared" si="78"/>
        <v>-5653.7373958333364</v>
      </c>
      <c r="X24" s="105">
        <f t="shared" si="78"/>
        <v>-5653.7373958333364</v>
      </c>
      <c r="Y24" s="105">
        <f t="shared" si="78"/>
        <v>-5653.7373958333364</v>
      </c>
      <c r="Z24" s="105">
        <f t="shared" si="78"/>
        <v>-5653.7373958333364</v>
      </c>
      <c r="AA24" s="105">
        <f t="shared" si="78"/>
        <v>-5653.7373958333364</v>
      </c>
      <c r="AB24" s="105">
        <f t="shared" si="78"/>
        <v>-5653.7373958333364</v>
      </c>
      <c r="AC24" s="105">
        <f t="shared" si="78"/>
        <v>-5653.7373958333364</v>
      </c>
      <c r="AD24" s="108">
        <f t="shared" si="78"/>
        <v>-5936.4242656250035</v>
      </c>
      <c r="AE24" s="108">
        <f t="shared" si="78"/>
        <v>-5936.4242656250035</v>
      </c>
      <c r="AF24" s="108">
        <f t="shared" si="78"/>
        <v>-5936.4242656250035</v>
      </c>
      <c r="AG24" s="108">
        <f t="shared" si="78"/>
        <v>-5936.4242656250035</v>
      </c>
      <c r="AH24" s="108">
        <f t="shared" si="78"/>
        <v>-5936.4242656250035</v>
      </c>
      <c r="AI24" s="108">
        <f t="shared" si="78"/>
        <v>-5936.4242656250035</v>
      </c>
      <c r="AJ24" s="108">
        <f t="shared" si="78"/>
        <v>-5936.4242656250035</v>
      </c>
      <c r="AK24" s="108">
        <f t="shared" si="78"/>
        <v>-5936.4242656250035</v>
      </c>
      <c r="AL24" s="108">
        <f t="shared" si="78"/>
        <v>-5936.4242656250035</v>
      </c>
      <c r="AM24" s="108">
        <f t="shared" si="78"/>
        <v>-5936.4242656250035</v>
      </c>
      <c r="AN24" s="108">
        <f t="shared" si="78"/>
        <v>-5936.4242656250035</v>
      </c>
      <c r="AO24" s="108">
        <f t="shared" si="78"/>
        <v>-5936.4242656250035</v>
      </c>
      <c r="AP24" s="4" t="s">
        <v>124</v>
      </c>
    </row>
    <row r="25" spans="1:42" x14ac:dyDescent="0.3">
      <c r="A25" s="16"/>
      <c r="B25" s="16"/>
      <c r="C25" s="4" t="s">
        <v>24</v>
      </c>
      <c r="D25" s="15">
        <v>0</v>
      </c>
      <c r="E25" s="15">
        <v>0</v>
      </c>
      <c r="F25" s="15">
        <f>-140521.875/12</f>
        <v>-11710.15625</v>
      </c>
      <c r="G25" s="15">
        <f t="shared" ref="G25:Q25" si="79">-140521.875/12</f>
        <v>-11710.15625</v>
      </c>
      <c r="H25" s="15">
        <f t="shared" si="79"/>
        <v>-11710.15625</v>
      </c>
      <c r="I25" s="15">
        <f t="shared" si="79"/>
        <v>-11710.15625</v>
      </c>
      <c r="J25" s="15">
        <f t="shared" si="79"/>
        <v>-11710.15625</v>
      </c>
      <c r="K25" s="15">
        <f t="shared" si="79"/>
        <v>-11710.15625</v>
      </c>
      <c r="L25" s="15">
        <f t="shared" si="79"/>
        <v>-11710.15625</v>
      </c>
      <c r="M25" s="15">
        <f t="shared" si="79"/>
        <v>-11710.15625</v>
      </c>
      <c r="N25" s="15">
        <f t="shared" si="79"/>
        <v>-11710.15625</v>
      </c>
      <c r="O25" s="15">
        <f t="shared" si="79"/>
        <v>-11710.15625</v>
      </c>
      <c r="P25" s="15">
        <f t="shared" si="79"/>
        <v>-11710.15625</v>
      </c>
      <c r="Q25" s="15">
        <f t="shared" si="79"/>
        <v>-11710.15625</v>
      </c>
      <c r="R25" s="105">
        <f>F25*1.33333</f>
        <v>-15613.502632812499</v>
      </c>
      <c r="S25" s="105">
        <f t="shared" ref="S25:AO25" si="80">G25*1.33333</f>
        <v>-15613.502632812499</v>
      </c>
      <c r="T25" s="105">
        <f t="shared" si="80"/>
        <v>-15613.502632812499</v>
      </c>
      <c r="U25" s="105">
        <f t="shared" si="80"/>
        <v>-15613.502632812499</v>
      </c>
      <c r="V25" s="105">
        <f t="shared" si="80"/>
        <v>-15613.502632812499</v>
      </c>
      <c r="W25" s="105">
        <f t="shared" si="80"/>
        <v>-15613.502632812499</v>
      </c>
      <c r="X25" s="105">
        <f t="shared" si="80"/>
        <v>-15613.502632812499</v>
      </c>
      <c r="Y25" s="105">
        <f t="shared" si="80"/>
        <v>-15613.502632812499</v>
      </c>
      <c r="Z25" s="105">
        <f t="shared" si="80"/>
        <v>-15613.502632812499</v>
      </c>
      <c r="AA25" s="105">
        <f t="shared" si="80"/>
        <v>-15613.502632812499</v>
      </c>
      <c r="AB25" s="105">
        <f t="shared" si="80"/>
        <v>-15613.502632812499</v>
      </c>
      <c r="AC25" s="105">
        <f t="shared" si="80"/>
        <v>-15613.502632812499</v>
      </c>
      <c r="AD25" s="108">
        <f t="shared" si="80"/>
        <v>-20817.951465407888</v>
      </c>
      <c r="AE25" s="108">
        <f t="shared" si="80"/>
        <v>-20817.951465407888</v>
      </c>
      <c r="AF25" s="108">
        <f t="shared" si="80"/>
        <v>-20817.951465407888</v>
      </c>
      <c r="AG25" s="108">
        <f t="shared" si="80"/>
        <v>-20817.951465407888</v>
      </c>
      <c r="AH25" s="108">
        <f t="shared" si="80"/>
        <v>-20817.951465407888</v>
      </c>
      <c r="AI25" s="108">
        <f t="shared" si="80"/>
        <v>-20817.951465407888</v>
      </c>
      <c r="AJ25" s="108">
        <f t="shared" si="80"/>
        <v>-20817.951465407888</v>
      </c>
      <c r="AK25" s="108">
        <f t="shared" si="80"/>
        <v>-20817.951465407888</v>
      </c>
      <c r="AL25" s="108">
        <f t="shared" si="80"/>
        <v>-20817.951465407888</v>
      </c>
      <c r="AM25" s="108">
        <f t="shared" si="80"/>
        <v>-20817.951465407888</v>
      </c>
      <c r="AN25" s="108">
        <f t="shared" si="80"/>
        <v>-20817.951465407888</v>
      </c>
      <c r="AO25" s="108">
        <f t="shared" si="80"/>
        <v>-20817.951465407888</v>
      </c>
      <c r="AP25" s="4" t="s">
        <v>112</v>
      </c>
    </row>
    <row r="26" spans="1:42" x14ac:dyDescent="0.3">
      <c r="C26" s="4" t="s">
        <v>25</v>
      </c>
      <c r="D26" s="4">
        <v>-7949</v>
      </c>
      <c r="E26" s="4">
        <v>-7949</v>
      </c>
      <c r="F26" s="4">
        <v>-7949</v>
      </c>
      <c r="G26" s="4">
        <v>-7949</v>
      </c>
      <c r="H26" s="4">
        <v>-7949</v>
      </c>
      <c r="I26" s="4">
        <v>-7949</v>
      </c>
      <c r="J26" s="4">
        <v>-7949</v>
      </c>
      <c r="K26" s="4">
        <v>-7949</v>
      </c>
      <c r="L26" s="4">
        <v>-7949</v>
      </c>
      <c r="M26" s="4">
        <v>-7949</v>
      </c>
      <c r="N26" s="4">
        <v>-7949</v>
      </c>
      <c r="O26" s="4">
        <v>-7949</v>
      </c>
      <c r="P26" s="4">
        <v>-7949</v>
      </c>
      <c r="Q26" s="4">
        <v>-7949</v>
      </c>
      <c r="R26" s="105">
        <f>F26*1.03</f>
        <v>-8187.47</v>
      </c>
      <c r="S26" s="105">
        <f t="shared" ref="S26:AO26" si="81">G26*1.03</f>
        <v>-8187.47</v>
      </c>
      <c r="T26" s="105">
        <f t="shared" si="81"/>
        <v>-8187.47</v>
      </c>
      <c r="U26" s="105">
        <f t="shared" si="81"/>
        <v>-8187.47</v>
      </c>
      <c r="V26" s="105">
        <f t="shared" si="81"/>
        <v>-8187.47</v>
      </c>
      <c r="W26" s="105">
        <f t="shared" si="81"/>
        <v>-8187.47</v>
      </c>
      <c r="X26" s="105">
        <f t="shared" si="81"/>
        <v>-8187.47</v>
      </c>
      <c r="Y26" s="105">
        <f t="shared" si="81"/>
        <v>-8187.47</v>
      </c>
      <c r="Z26" s="105">
        <f t="shared" si="81"/>
        <v>-8187.47</v>
      </c>
      <c r="AA26" s="105">
        <f t="shared" si="81"/>
        <v>-8187.47</v>
      </c>
      <c r="AB26" s="105">
        <f t="shared" si="81"/>
        <v>-8187.47</v>
      </c>
      <c r="AC26" s="105">
        <f t="shared" si="81"/>
        <v>-8187.47</v>
      </c>
      <c r="AD26" s="108">
        <f t="shared" si="81"/>
        <v>-8433.0941000000003</v>
      </c>
      <c r="AE26" s="108">
        <f t="shared" si="81"/>
        <v>-8433.0941000000003</v>
      </c>
      <c r="AF26" s="108">
        <f t="shared" si="81"/>
        <v>-8433.0941000000003</v>
      </c>
      <c r="AG26" s="108">
        <f t="shared" si="81"/>
        <v>-8433.0941000000003</v>
      </c>
      <c r="AH26" s="108">
        <f t="shared" si="81"/>
        <v>-8433.0941000000003</v>
      </c>
      <c r="AI26" s="108">
        <f t="shared" si="81"/>
        <v>-8433.0941000000003</v>
      </c>
      <c r="AJ26" s="108">
        <f t="shared" si="81"/>
        <v>-8433.0941000000003</v>
      </c>
      <c r="AK26" s="108">
        <f t="shared" si="81"/>
        <v>-8433.0941000000003</v>
      </c>
      <c r="AL26" s="108">
        <f t="shared" si="81"/>
        <v>-8433.0941000000003</v>
      </c>
      <c r="AM26" s="108">
        <f t="shared" si="81"/>
        <v>-8433.0941000000003</v>
      </c>
      <c r="AN26" s="108">
        <f t="shared" si="81"/>
        <v>-8433.0941000000003</v>
      </c>
      <c r="AO26" s="108">
        <f t="shared" si="81"/>
        <v>-8433.0941000000003</v>
      </c>
      <c r="AP26" s="4" t="s">
        <v>113</v>
      </c>
    </row>
    <row r="27" spans="1:42" x14ac:dyDescent="0.3">
      <c r="A27" s="16"/>
      <c r="B27" s="13" t="s">
        <v>26</v>
      </c>
      <c r="C27" s="1"/>
      <c r="D27" s="15"/>
      <c r="E27" s="15"/>
      <c r="F27" s="4" t="s">
        <v>27</v>
      </c>
      <c r="G27" s="4" t="s">
        <v>27</v>
      </c>
      <c r="H27" s="4" t="s">
        <v>27</v>
      </c>
      <c r="I27" s="4" t="s">
        <v>27</v>
      </c>
      <c r="J27" s="4" t="s">
        <v>27</v>
      </c>
      <c r="K27" s="4" t="s">
        <v>27</v>
      </c>
      <c r="L27" s="4" t="s">
        <v>27</v>
      </c>
      <c r="O27" s="4" t="s">
        <v>27</v>
      </c>
      <c r="R27" s="105" t="str">
        <f>F27</f>
        <v xml:space="preserve"> </v>
      </c>
      <c r="S27" s="105" t="str">
        <f t="shared" si="54"/>
        <v xml:space="preserve"> </v>
      </c>
      <c r="T27" s="105" t="str">
        <f t="shared" si="55"/>
        <v xml:space="preserve"> </v>
      </c>
      <c r="U27" s="105" t="str">
        <f t="shared" si="56"/>
        <v xml:space="preserve"> </v>
      </c>
      <c r="V27" s="105" t="str">
        <f t="shared" si="57"/>
        <v xml:space="preserve"> </v>
      </c>
      <c r="W27" s="105" t="str">
        <f t="shared" si="58"/>
        <v xml:space="preserve"> </v>
      </c>
      <c r="X27" s="105" t="str">
        <f t="shared" si="59"/>
        <v xml:space="preserve"> </v>
      </c>
      <c r="Y27" s="105">
        <f t="shared" si="60"/>
        <v>0</v>
      </c>
      <c r="Z27" s="105">
        <f t="shared" si="61"/>
        <v>0</v>
      </c>
      <c r="AA27" s="105" t="str">
        <f t="shared" si="62"/>
        <v xml:space="preserve"> </v>
      </c>
      <c r="AB27" s="105">
        <f t="shared" si="63"/>
        <v>0</v>
      </c>
      <c r="AC27" s="105">
        <f t="shared" si="64"/>
        <v>0</v>
      </c>
      <c r="AD27" s="108" t="str">
        <f t="shared" si="65"/>
        <v xml:space="preserve"> </v>
      </c>
      <c r="AE27" s="108" t="str">
        <f t="shared" si="66"/>
        <v xml:space="preserve"> </v>
      </c>
      <c r="AF27" s="108" t="str">
        <f t="shared" si="67"/>
        <v xml:space="preserve"> </v>
      </c>
      <c r="AG27" s="108" t="str">
        <f t="shared" si="68"/>
        <v xml:space="preserve"> </v>
      </c>
      <c r="AH27" s="108" t="str">
        <f t="shared" si="69"/>
        <v xml:space="preserve"> </v>
      </c>
      <c r="AI27" s="108" t="str">
        <f t="shared" si="70"/>
        <v xml:space="preserve"> </v>
      </c>
      <c r="AJ27" s="108" t="str">
        <f t="shared" si="71"/>
        <v xml:space="preserve"> </v>
      </c>
      <c r="AK27" s="108">
        <f t="shared" si="72"/>
        <v>0</v>
      </c>
      <c r="AL27" s="108">
        <f t="shared" si="73"/>
        <v>0</v>
      </c>
      <c r="AM27" s="108" t="str">
        <f t="shared" si="74"/>
        <v xml:space="preserve"> </v>
      </c>
      <c r="AN27" s="108">
        <f t="shared" si="75"/>
        <v>0</v>
      </c>
      <c r="AO27" s="108">
        <f t="shared" si="76"/>
        <v>0</v>
      </c>
    </row>
    <row r="28" spans="1:42" x14ac:dyDescent="0.3">
      <c r="A28" s="16"/>
      <c r="B28" s="16"/>
      <c r="C28" s="99" t="s">
        <v>28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f>D28*1.03</f>
        <v>0</v>
      </c>
      <c r="N28" s="98">
        <f>E28*1.03</f>
        <v>0</v>
      </c>
      <c r="O28" s="98">
        <v>0</v>
      </c>
      <c r="P28" s="98">
        <f>G28*1.03</f>
        <v>0</v>
      </c>
      <c r="Q28" s="98">
        <f>H28*1.03</f>
        <v>0</v>
      </c>
      <c r="R28" s="131">
        <f t="shared" ref="R28:AO28" si="82">I28*1.03</f>
        <v>0</v>
      </c>
      <c r="S28" s="131">
        <f t="shared" si="82"/>
        <v>0</v>
      </c>
      <c r="T28" s="131">
        <f t="shared" si="82"/>
        <v>0</v>
      </c>
      <c r="U28" s="131">
        <f t="shared" si="82"/>
        <v>0</v>
      </c>
      <c r="V28" s="131">
        <f t="shared" si="82"/>
        <v>0</v>
      </c>
      <c r="W28" s="131">
        <f t="shared" si="82"/>
        <v>0</v>
      </c>
      <c r="X28" s="131">
        <f t="shared" si="82"/>
        <v>0</v>
      </c>
      <c r="Y28" s="131">
        <f t="shared" si="82"/>
        <v>0</v>
      </c>
      <c r="Z28" s="131">
        <f t="shared" si="82"/>
        <v>0</v>
      </c>
      <c r="AA28" s="131">
        <f t="shared" si="82"/>
        <v>0</v>
      </c>
      <c r="AB28" s="131">
        <f t="shared" si="82"/>
        <v>0</v>
      </c>
      <c r="AC28" s="131">
        <f t="shared" si="82"/>
        <v>0</v>
      </c>
      <c r="AD28" s="133">
        <f t="shared" si="82"/>
        <v>0</v>
      </c>
      <c r="AE28" s="133">
        <f t="shared" si="82"/>
        <v>0</v>
      </c>
      <c r="AF28" s="133">
        <f t="shared" si="82"/>
        <v>0</v>
      </c>
      <c r="AG28" s="133">
        <f t="shared" si="82"/>
        <v>0</v>
      </c>
      <c r="AH28" s="133">
        <f t="shared" si="82"/>
        <v>0</v>
      </c>
      <c r="AI28" s="133">
        <f t="shared" si="82"/>
        <v>0</v>
      </c>
      <c r="AJ28" s="133">
        <f t="shared" si="82"/>
        <v>0</v>
      </c>
      <c r="AK28" s="133">
        <f t="shared" si="82"/>
        <v>0</v>
      </c>
      <c r="AL28" s="133">
        <f t="shared" si="82"/>
        <v>0</v>
      </c>
      <c r="AM28" s="133">
        <f t="shared" si="82"/>
        <v>0</v>
      </c>
      <c r="AN28" s="133">
        <f t="shared" si="82"/>
        <v>0</v>
      </c>
      <c r="AO28" s="133">
        <f t="shared" si="82"/>
        <v>0</v>
      </c>
      <c r="AP28" s="4" t="s">
        <v>155</v>
      </c>
    </row>
    <row r="29" spans="1:42" x14ac:dyDescent="0.3">
      <c r="A29" s="16"/>
      <c r="B29" s="16"/>
      <c r="C29" s="23" t="s">
        <v>29</v>
      </c>
      <c r="D29" s="15">
        <v>0</v>
      </c>
      <c r="E29" s="15">
        <f>D12*-3</f>
        <v>-11573.624999999998</v>
      </c>
      <c r="F29" s="4">
        <v>0</v>
      </c>
      <c r="G29" s="4">
        <v>0</v>
      </c>
      <c r="H29" s="4">
        <f>-((F9+G9+E9)*0.85)*0.0875</f>
        <v>-13415.167499999998</v>
      </c>
      <c r="I29" s="4">
        <v>0</v>
      </c>
      <c r="J29" s="4">
        <v>0</v>
      </c>
      <c r="K29" s="4">
        <f>H29</f>
        <v>-13415.167499999998</v>
      </c>
      <c r="L29" s="4">
        <v>0</v>
      </c>
      <c r="M29" s="4">
        <f>D29*1.03</f>
        <v>0</v>
      </c>
      <c r="N29" s="4">
        <f>K29</f>
        <v>-13415.167499999998</v>
      </c>
      <c r="O29" s="4">
        <v>0</v>
      </c>
      <c r="P29" s="4">
        <f>G29*1.03</f>
        <v>0</v>
      </c>
      <c r="Q29" s="4">
        <f>K29</f>
        <v>-13415.167499999998</v>
      </c>
      <c r="R29" s="105">
        <f t="shared" ref="R29:R30" si="83">F29</f>
        <v>0</v>
      </c>
      <c r="S29" s="105">
        <f t="shared" ref="S29:S30" si="84">G29</f>
        <v>0</v>
      </c>
      <c r="T29" s="95">
        <f>-((R9+S9+Q9)*0.85)*0.0875</f>
        <v>-15508.039837499997</v>
      </c>
      <c r="U29" s="105">
        <f t="shared" ref="U29:U30" si="85">I29</f>
        <v>0</v>
      </c>
      <c r="V29" s="105">
        <f t="shared" ref="V29:V30" si="86">J29</f>
        <v>0</v>
      </c>
      <c r="W29" s="95">
        <f>-((U9+V9+T9)*0.85)*0.0875</f>
        <v>-15660.079443749999</v>
      </c>
      <c r="X29" s="105">
        <f t="shared" ref="X29:X30" si="87">L29</f>
        <v>0</v>
      </c>
      <c r="Y29" s="105">
        <f t="shared" ref="Y29:Y30" si="88">M29</f>
        <v>0</v>
      </c>
      <c r="Z29" s="95">
        <f>-((X9+Y9+W9)*0.85)*0.0875</f>
        <v>-15660.079443749999</v>
      </c>
      <c r="AA29" s="105">
        <f t="shared" ref="AA29:AA30" si="89">O29</f>
        <v>0</v>
      </c>
      <c r="AB29" s="105">
        <f t="shared" ref="AB29:AB30" si="90">P29</f>
        <v>0</v>
      </c>
      <c r="AC29" s="95">
        <f>-((AA9+AB9+Z9)*0.85)*0.0875</f>
        <v>-15660.079443749999</v>
      </c>
      <c r="AD29" s="108">
        <f t="shared" ref="AD29:AD30" si="91">R29</f>
        <v>0</v>
      </c>
      <c r="AE29" s="108">
        <f t="shared" ref="AE29:AE30" si="92">S29</f>
        <v>0</v>
      </c>
      <c r="AF29" s="107">
        <f>-((AD9+AE9+AC9)*0.85)*0.0875</f>
        <v>-15973.281032624998</v>
      </c>
      <c r="AG29" s="108">
        <f t="shared" ref="AG29:AG30" si="93">U29</f>
        <v>0</v>
      </c>
      <c r="AH29" s="108">
        <f t="shared" ref="AH29:AH30" si="94">V29</f>
        <v>0</v>
      </c>
      <c r="AI29" s="107">
        <f>-((AG9+AH9+AF9)*0.85)*0.0875</f>
        <v>-16129.881827062494</v>
      </c>
      <c r="AJ29" s="108">
        <f t="shared" ref="AJ29:AJ30" si="95">X29</f>
        <v>0</v>
      </c>
      <c r="AK29" s="108">
        <f t="shared" ref="AK29:AK30" si="96">Y29</f>
        <v>0</v>
      </c>
      <c r="AL29" s="107">
        <f>-((AJ9+AK9+AI9)*0.85)*0.0875</f>
        <v>-16129.881827062494</v>
      </c>
      <c r="AM29" s="108">
        <f t="shared" ref="AM29:AM30" si="97">AA29</f>
        <v>0</v>
      </c>
      <c r="AN29" s="108">
        <f t="shared" ref="AN29:AN30" si="98">AB29</f>
        <v>0</v>
      </c>
      <c r="AO29" s="107">
        <f>-((AM9+AN9+AL9)*0.85)*0.0875</f>
        <v>-16129.881827062494</v>
      </c>
    </row>
    <row r="30" spans="1:42" s="26" customFormat="1" x14ac:dyDescent="0.3">
      <c r="A30" s="24"/>
      <c r="B30" s="24"/>
      <c r="C30" s="25" t="s">
        <v>30</v>
      </c>
      <c r="D30" s="15">
        <v>0</v>
      </c>
      <c r="E30" s="15">
        <v>0</v>
      </c>
      <c r="F30" s="15">
        <v>-850</v>
      </c>
      <c r="G30" s="15">
        <v>-850</v>
      </c>
      <c r="H30" s="15">
        <v>-850</v>
      </c>
      <c r="I30" s="15">
        <v>-850</v>
      </c>
      <c r="J30" s="15">
        <v>-850</v>
      </c>
      <c r="K30" s="15">
        <v>-850</v>
      </c>
      <c r="L30" s="15">
        <v>-850</v>
      </c>
      <c r="M30" s="15">
        <v>-850</v>
      </c>
      <c r="N30" s="15">
        <v>-850</v>
      </c>
      <c r="O30" s="15">
        <v>-850</v>
      </c>
      <c r="P30" s="15">
        <v>-850</v>
      </c>
      <c r="Q30" s="15">
        <v>-850</v>
      </c>
      <c r="R30" s="105">
        <f t="shared" si="83"/>
        <v>-850</v>
      </c>
      <c r="S30" s="105">
        <f t="shared" si="84"/>
        <v>-850</v>
      </c>
      <c r="T30" s="105">
        <f t="shared" ref="T30" si="99">H30</f>
        <v>-850</v>
      </c>
      <c r="U30" s="105">
        <f t="shared" si="85"/>
        <v>-850</v>
      </c>
      <c r="V30" s="105">
        <f t="shared" si="86"/>
        <v>-850</v>
      </c>
      <c r="W30" s="105">
        <f t="shared" ref="W30" si="100">K30</f>
        <v>-850</v>
      </c>
      <c r="X30" s="105">
        <f t="shared" si="87"/>
        <v>-850</v>
      </c>
      <c r="Y30" s="105">
        <f t="shared" si="88"/>
        <v>-850</v>
      </c>
      <c r="Z30" s="105">
        <f t="shared" ref="Z30" si="101">N30</f>
        <v>-850</v>
      </c>
      <c r="AA30" s="105">
        <f t="shared" si="89"/>
        <v>-850</v>
      </c>
      <c r="AB30" s="105">
        <f t="shared" si="90"/>
        <v>-850</v>
      </c>
      <c r="AC30" s="105">
        <f t="shared" ref="AC30" si="102">Q30</f>
        <v>-850</v>
      </c>
      <c r="AD30" s="108">
        <f t="shared" si="91"/>
        <v>-850</v>
      </c>
      <c r="AE30" s="108">
        <f t="shared" si="92"/>
        <v>-850</v>
      </c>
      <c r="AF30" s="108">
        <f t="shared" ref="AF30" si="103">T30</f>
        <v>-850</v>
      </c>
      <c r="AG30" s="108">
        <f t="shared" si="93"/>
        <v>-850</v>
      </c>
      <c r="AH30" s="108">
        <f t="shared" si="94"/>
        <v>-850</v>
      </c>
      <c r="AI30" s="108">
        <f t="shared" ref="AI30" si="104">W30</f>
        <v>-850</v>
      </c>
      <c r="AJ30" s="108">
        <f t="shared" si="95"/>
        <v>-850</v>
      </c>
      <c r="AK30" s="108">
        <f t="shared" si="96"/>
        <v>-850</v>
      </c>
      <c r="AL30" s="108">
        <f t="shared" ref="AL30" si="105">Z30</f>
        <v>-850</v>
      </c>
      <c r="AM30" s="108">
        <f t="shared" si="97"/>
        <v>-850</v>
      </c>
      <c r="AN30" s="108">
        <f t="shared" si="98"/>
        <v>-850</v>
      </c>
      <c r="AO30" s="108">
        <f t="shared" ref="AO30" si="106">AC30</f>
        <v>-850</v>
      </c>
      <c r="AP30" s="15"/>
    </row>
    <row r="31" spans="1:42" x14ac:dyDescent="0.3">
      <c r="A31" s="27" t="s">
        <v>31</v>
      </c>
      <c r="B31" s="27"/>
      <c r="C31" s="27"/>
      <c r="D31" s="11">
        <f t="shared" ref="D31:AO31" si="107">SUM(D18:D30)</f>
        <v>-128587.11998312818</v>
      </c>
      <c r="E31" s="11">
        <f t="shared" si="107"/>
        <v>-156910.52338932443</v>
      </c>
      <c r="F31" s="11">
        <f t="shared" si="107"/>
        <v>-167854.00765593984</v>
      </c>
      <c r="G31" s="11">
        <f t="shared" si="107"/>
        <v>-122897.05463932446</v>
      </c>
      <c r="H31" s="11">
        <f t="shared" si="107"/>
        <v>-136312.22213932447</v>
      </c>
      <c r="I31" s="11">
        <f t="shared" si="107"/>
        <v>-154854.00765593984</v>
      </c>
      <c r="J31" s="11">
        <f t="shared" si="107"/>
        <v>-122897.05463932446</v>
      </c>
      <c r="K31" s="11">
        <f t="shared" si="107"/>
        <v>-154564.5254574783</v>
      </c>
      <c r="L31" s="11">
        <f t="shared" si="107"/>
        <v>-151601.93488055523</v>
      </c>
      <c r="M31" s="11">
        <f t="shared" si="107"/>
        <v>-122897.05463932446</v>
      </c>
      <c r="N31" s="11">
        <f t="shared" si="107"/>
        <v>-136312.22213932447</v>
      </c>
      <c r="O31" s="11">
        <f t="shared" si="107"/>
        <v>-154854.00765593984</v>
      </c>
      <c r="P31" s="11">
        <f t="shared" si="107"/>
        <v>-122897.05463932446</v>
      </c>
      <c r="Q31" s="11">
        <f t="shared" si="107"/>
        <v>-143312.22213932447</v>
      </c>
      <c r="R31" s="104">
        <f t="shared" si="107"/>
        <v>-181772.65829911703</v>
      </c>
      <c r="S31" s="104">
        <f t="shared" si="107"/>
        <v>-136125.8592936573</v>
      </c>
      <c r="T31" s="104">
        <f t="shared" si="107"/>
        <v>-151633.89913115729</v>
      </c>
      <c r="U31" s="104">
        <f t="shared" si="107"/>
        <v>-168772.65829911703</v>
      </c>
      <c r="V31" s="104">
        <f t="shared" si="107"/>
        <v>-136125.8592936573</v>
      </c>
      <c r="W31" s="104">
        <f t="shared" si="107"/>
        <v>-181785.79071556858</v>
      </c>
      <c r="X31" s="104">
        <f t="shared" si="107"/>
        <v>-168773.09127181856</v>
      </c>
      <c r="Y31" s="104">
        <f t="shared" si="107"/>
        <v>-136125.8592936573</v>
      </c>
      <c r="Z31" s="104">
        <f t="shared" si="107"/>
        <v>-151785.9387374073</v>
      </c>
      <c r="AA31" s="104">
        <f t="shared" si="107"/>
        <v>-168772.65829911703</v>
      </c>
      <c r="AB31" s="104">
        <f t="shared" si="107"/>
        <v>-136125.8592936573</v>
      </c>
      <c r="AC31" s="104">
        <f t="shared" si="107"/>
        <v>-158785.93873740733</v>
      </c>
      <c r="AD31" s="109">
        <f t="shared" si="107"/>
        <v>-196859.74361448165</v>
      </c>
      <c r="AE31" s="109">
        <f t="shared" si="107"/>
        <v>-150593.54063885816</v>
      </c>
      <c r="AF31" s="109">
        <f t="shared" si="107"/>
        <v>-166566.82167148317</v>
      </c>
      <c r="AG31" s="109">
        <f t="shared" si="107"/>
        <v>-183859.74361448165</v>
      </c>
      <c r="AH31" s="109">
        <f t="shared" si="107"/>
        <v>-150593.54063885816</v>
      </c>
      <c r="AI31" s="109">
        <f t="shared" si="107"/>
        <v>-228223.27000342673</v>
      </c>
      <c r="AJ31" s="109">
        <f t="shared" si="107"/>
        <v>-183860.18957636424</v>
      </c>
      <c r="AK31" s="109">
        <f t="shared" si="107"/>
        <v>-150593.54063885816</v>
      </c>
      <c r="AL31" s="109">
        <f t="shared" si="107"/>
        <v>-166723.42246592065</v>
      </c>
      <c r="AM31" s="109">
        <f t="shared" si="107"/>
        <v>-183859.74361448165</v>
      </c>
      <c r="AN31" s="109">
        <f t="shared" si="107"/>
        <v>-150593.54063885816</v>
      </c>
      <c r="AO31" s="109">
        <f t="shared" si="107"/>
        <v>-173723.42246592065</v>
      </c>
    </row>
    <row r="32" spans="1:42" ht="7.5" customHeight="1" x14ac:dyDescent="0.3">
      <c r="A32" s="27"/>
      <c r="B32" s="27"/>
      <c r="C32" s="2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5">
        <f t="shared" ref="R32:R34" si="108">F32</f>
        <v>0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1:47" x14ac:dyDescent="0.3">
      <c r="A33" s="16"/>
      <c r="B33" s="16"/>
      <c r="C33" s="29" t="s">
        <v>32</v>
      </c>
      <c r="D33" s="4">
        <f t="shared" ref="D33:AO33" si="109">D15+D31</f>
        <v>-37721.033303128192</v>
      </c>
      <c r="E33" s="4">
        <f t="shared" si="109"/>
        <v>-66044.436709324436</v>
      </c>
      <c r="F33" s="4">
        <f t="shared" si="109"/>
        <v>4065.9965107268072</v>
      </c>
      <c r="G33" s="4">
        <f t="shared" si="109"/>
        <v>49987.949527342193</v>
      </c>
      <c r="H33" s="4">
        <f t="shared" si="109"/>
        <v>-9292.2179726578033</v>
      </c>
      <c r="I33" s="4">
        <f t="shared" si="109"/>
        <v>27265.996510726807</v>
      </c>
      <c r="J33" s="4">
        <f t="shared" si="109"/>
        <v>79422.949527342193</v>
      </c>
      <c r="K33" s="4">
        <f t="shared" si="109"/>
        <v>104755.47870918835</v>
      </c>
      <c r="L33" s="4">
        <f t="shared" si="109"/>
        <v>-21481.930713888563</v>
      </c>
      <c r="M33" s="4">
        <f t="shared" si="109"/>
        <v>37022.949527342193</v>
      </c>
      <c r="N33" s="4">
        <f t="shared" si="109"/>
        <v>23387.782027342211</v>
      </c>
      <c r="O33" s="4">
        <f t="shared" si="109"/>
        <v>9123.0798440601211</v>
      </c>
      <c r="P33" s="4">
        <f t="shared" si="109"/>
        <v>45357.116194008908</v>
      </c>
      <c r="Q33" s="4">
        <f t="shared" si="109"/>
        <v>14219.032027342182</v>
      </c>
      <c r="R33" s="95">
        <f t="shared" si="109"/>
        <v>-9852.6541324503778</v>
      </c>
      <c r="S33" s="95">
        <f t="shared" si="109"/>
        <v>36759.144873009354</v>
      </c>
      <c r="T33" s="95">
        <f t="shared" si="109"/>
        <v>-24613.894964490624</v>
      </c>
      <c r="U33" s="95">
        <f t="shared" si="109"/>
        <v>13347.345867549622</v>
      </c>
      <c r="V33" s="95">
        <f t="shared" si="109"/>
        <v>66194.144873009354</v>
      </c>
      <c r="W33" s="95">
        <f t="shared" si="109"/>
        <v>77534.213451098069</v>
      </c>
      <c r="X33" s="95">
        <f t="shared" si="109"/>
        <v>-38653.087105151892</v>
      </c>
      <c r="Y33" s="95">
        <f t="shared" si="109"/>
        <v>23794.144873009354</v>
      </c>
      <c r="Z33" s="95">
        <f t="shared" si="109"/>
        <v>7914.0654292593827</v>
      </c>
      <c r="AA33" s="95">
        <f t="shared" si="109"/>
        <v>-4795.5707991170639</v>
      </c>
      <c r="AB33" s="95">
        <f t="shared" si="109"/>
        <v>32128.31153967607</v>
      </c>
      <c r="AC33" s="95">
        <f t="shared" si="109"/>
        <v>-1254.6845707406756</v>
      </c>
      <c r="AD33" s="107">
        <f t="shared" si="109"/>
        <v>-24939.739447814994</v>
      </c>
      <c r="AE33" s="107">
        <f t="shared" si="109"/>
        <v>22291.46352780849</v>
      </c>
      <c r="AF33" s="107">
        <f t="shared" si="109"/>
        <v>-39546.817504816499</v>
      </c>
      <c r="AG33" s="107">
        <f t="shared" si="109"/>
        <v>-1739.7394478149945</v>
      </c>
      <c r="AH33" s="107">
        <f t="shared" si="109"/>
        <v>51726.46352780849</v>
      </c>
      <c r="AI33" s="107">
        <f t="shared" si="109"/>
        <v>31096.734163239918</v>
      </c>
      <c r="AJ33" s="107">
        <f t="shared" si="109"/>
        <v>-53740.185409697573</v>
      </c>
      <c r="AK33" s="107">
        <f t="shared" si="109"/>
        <v>9326.4635278084897</v>
      </c>
      <c r="AL33" s="107">
        <f t="shared" si="109"/>
        <v>-7023.4182992539718</v>
      </c>
      <c r="AM33" s="107">
        <f t="shared" si="109"/>
        <v>-19882.656114481681</v>
      </c>
      <c r="AN33" s="107">
        <f t="shared" si="109"/>
        <v>17660.630194475205</v>
      </c>
      <c r="AO33" s="107">
        <f t="shared" si="109"/>
        <v>-16192.168299254001</v>
      </c>
      <c r="AP33" s="4">
        <f>SUM(F33:AO33)</f>
        <v>511372.69147154316</v>
      </c>
    </row>
    <row r="34" spans="1:47" ht="6" customHeight="1" x14ac:dyDescent="0.3">
      <c r="C34" s="30"/>
      <c r="R34" s="105">
        <f t="shared" si="108"/>
        <v>0</v>
      </c>
      <c r="S34" s="105">
        <f t="shared" ref="S34" si="110">G34</f>
        <v>0</v>
      </c>
      <c r="T34" s="105">
        <f t="shared" ref="T34" si="111">H34</f>
        <v>0</v>
      </c>
      <c r="U34" s="105">
        <f t="shared" ref="U34" si="112">I34</f>
        <v>0</v>
      </c>
      <c r="V34" s="105">
        <f t="shared" ref="V34" si="113">J34</f>
        <v>0</v>
      </c>
      <c r="W34" s="105">
        <f t="shared" ref="W34" si="114">K34</f>
        <v>0</v>
      </c>
      <c r="X34" s="105">
        <f t="shared" ref="X34" si="115">L34</f>
        <v>0</v>
      </c>
      <c r="Y34" s="105">
        <f t="shared" ref="Y34" si="116">M34</f>
        <v>0</v>
      </c>
      <c r="Z34" s="105">
        <f t="shared" ref="Z34" si="117">N34</f>
        <v>0</v>
      </c>
      <c r="AA34" s="105">
        <f t="shared" ref="AA34" si="118">O34</f>
        <v>0</v>
      </c>
      <c r="AB34" s="105">
        <f t="shared" ref="AB34" si="119">P34</f>
        <v>0</v>
      </c>
      <c r="AC34" s="105">
        <f t="shared" ref="AC34" si="120">Q34</f>
        <v>0</v>
      </c>
      <c r="AD34" s="108">
        <f t="shared" ref="AD34" si="121">R34</f>
        <v>0</v>
      </c>
      <c r="AE34" s="108">
        <f t="shared" ref="AE34" si="122">S34</f>
        <v>0</v>
      </c>
      <c r="AF34" s="108">
        <f t="shared" ref="AF34" si="123">T34</f>
        <v>0</v>
      </c>
      <c r="AG34" s="108">
        <f t="shared" ref="AG34" si="124">U34</f>
        <v>0</v>
      </c>
      <c r="AH34" s="108">
        <f t="shared" ref="AH34" si="125">V34</f>
        <v>0</v>
      </c>
      <c r="AI34" s="108">
        <f t="shared" ref="AI34" si="126">W34</f>
        <v>0</v>
      </c>
      <c r="AJ34" s="108">
        <f t="shared" ref="AJ34" si="127">X34</f>
        <v>0</v>
      </c>
      <c r="AK34" s="108">
        <f t="shared" ref="AK34" si="128">Y34</f>
        <v>0</v>
      </c>
      <c r="AL34" s="108">
        <f t="shared" ref="AL34" si="129">Z34</f>
        <v>0</v>
      </c>
      <c r="AM34" s="108">
        <f t="shared" ref="AM34" si="130">AA34</f>
        <v>0</v>
      </c>
      <c r="AN34" s="108">
        <f t="shared" ref="AN34" si="131">AB34</f>
        <v>0</v>
      </c>
      <c r="AO34" s="108">
        <f t="shared" ref="AO34" si="132">AC34</f>
        <v>0</v>
      </c>
    </row>
    <row r="35" spans="1:47" ht="16.2" thickBot="1" x14ac:dyDescent="0.35">
      <c r="A35" s="10" t="s">
        <v>33</v>
      </c>
      <c r="C35" s="10"/>
      <c r="D35" s="31">
        <f>D4+D15+D31</f>
        <v>1057572.2466968717</v>
      </c>
      <c r="E35" s="31">
        <f>E4+E33</f>
        <v>666109.50229523948</v>
      </c>
      <c r="F35" s="43">
        <f>F4+F15+F31</f>
        <v>1056051.366510727</v>
      </c>
      <c r="G35" s="43">
        <f t="shared" ref="G35:AO35" si="133">G4+G15+G31</f>
        <v>920959.3544996077</v>
      </c>
      <c r="H35" s="43">
        <f t="shared" si="133"/>
        <v>675435.76729618059</v>
      </c>
      <c r="I35" s="43">
        <f t="shared" si="133"/>
        <v>577645.39457613812</v>
      </c>
      <c r="J35" s="43">
        <f t="shared" si="133"/>
        <v>498121.71256501868</v>
      </c>
      <c r="K35" s="43">
        <f t="shared" si="133"/>
        <v>944079.15204343782</v>
      </c>
      <c r="L35" s="43">
        <f t="shared" si="133"/>
        <v>904249.18209878018</v>
      </c>
      <c r="M35" s="43">
        <f t="shared" si="133"/>
        <v>1050325.5000876607</v>
      </c>
      <c r="N35" s="43">
        <f t="shared" si="133"/>
        <v>1013845.2428842338</v>
      </c>
      <c r="O35" s="43">
        <f t="shared" si="133"/>
        <v>1662715.2834975247</v>
      </c>
      <c r="P35" s="43">
        <f t="shared" si="133"/>
        <v>1583775.7681530721</v>
      </c>
      <c r="Q35" s="43">
        <f t="shared" si="133"/>
        <v>1542096.760949645</v>
      </c>
      <c r="R35" s="136">
        <f t="shared" si="133"/>
        <v>1618446.0675864252</v>
      </c>
      <c r="S35" s="136">
        <f t="shared" si="133"/>
        <v>1447711.43284405</v>
      </c>
      <c r="T35" s="136">
        <f t="shared" si="133"/>
        <v>1400469.7801872517</v>
      </c>
      <c r="U35" s="136">
        <f t="shared" si="133"/>
        <v>1235189.3683624936</v>
      </c>
      <c r="V35" s="136">
        <f t="shared" si="133"/>
        <v>1288910.5686201183</v>
      </c>
      <c r="W35" s="136">
        <f t="shared" si="133"/>
        <v>1147837.8593789088</v>
      </c>
      <c r="X35" s="136">
        <f t="shared" si="133"/>
        <v>1059577.8495814491</v>
      </c>
      <c r="Y35" s="136">
        <f t="shared" si="133"/>
        <v>1073899.0498390738</v>
      </c>
      <c r="Z35" s="136">
        <f t="shared" si="133"/>
        <v>1035206.1925760254</v>
      </c>
      <c r="AA35" s="136">
        <f t="shared" si="133"/>
        <v>864803.69908460055</v>
      </c>
      <c r="AB35" s="136">
        <f t="shared" si="133"/>
        <v>829459.06600889191</v>
      </c>
      <c r="AC35" s="136">
        <f t="shared" si="133"/>
        <v>808097.4587458435</v>
      </c>
      <c r="AD35" s="136">
        <f t="shared" si="133"/>
        <v>816550.79660572077</v>
      </c>
      <c r="AE35" s="136">
        <f t="shared" si="133"/>
        <v>596589.81003737543</v>
      </c>
      <c r="AF35" s="136">
        <f t="shared" si="133"/>
        <v>440199.86545563588</v>
      </c>
      <c r="AG35" s="136">
        <f t="shared" si="133"/>
        <v>225616.9989308978</v>
      </c>
      <c r="AH35" s="136">
        <f t="shared" si="133"/>
        <v>230514.6803625524</v>
      </c>
      <c r="AI35" s="136">
        <f t="shared" si="133"/>
        <v>39184.955448869237</v>
      </c>
      <c r="AJ35" s="136">
        <f t="shared" si="133"/>
        <v>-60473.68903775145</v>
      </c>
      <c r="AK35" s="136">
        <f t="shared" si="133"/>
        <v>-64983.007606096857</v>
      </c>
      <c r="AL35" s="136">
        <f t="shared" si="133"/>
        <v>-122423.88498227394</v>
      </c>
      <c r="AM35" s="136">
        <f t="shared" si="133"/>
        <v>-339733.00017367874</v>
      </c>
      <c r="AN35" s="136">
        <f t="shared" si="133"/>
        <v>-393898.15207535739</v>
      </c>
      <c r="AO35" s="136">
        <f t="shared" si="133"/>
        <v>-434016.7794515345</v>
      </c>
    </row>
    <row r="36" spans="1:47" ht="11.25" customHeight="1" thickTop="1" x14ac:dyDescent="0.3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</row>
    <row r="37" spans="1:47" x14ac:dyDescent="0.3">
      <c r="A37" s="34" t="s">
        <v>34</v>
      </c>
      <c r="B37" s="34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</row>
    <row r="38" spans="1:47" x14ac:dyDescent="0.3">
      <c r="A38" s="10" t="s">
        <v>4</v>
      </c>
      <c r="C38" s="10"/>
      <c r="R38" s="95">
        <f>SUM(F38:Q38)</f>
        <v>0</v>
      </c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</row>
    <row r="39" spans="1:47" x14ac:dyDescent="0.3">
      <c r="B39" s="101" t="s">
        <v>96</v>
      </c>
      <c r="C39" s="26"/>
      <c r="D39" s="15">
        <v>0</v>
      </c>
      <c r="E39" s="15">
        <v>112000</v>
      </c>
      <c r="F39" s="15">
        <f>28000*3</f>
        <v>84000</v>
      </c>
      <c r="G39" s="15">
        <v>24000</v>
      </c>
      <c r="H39" s="15">
        <v>19500</v>
      </c>
      <c r="I39" s="15">
        <f>SUM(I41:I50)</f>
        <v>61958.33</v>
      </c>
      <c r="J39" s="15">
        <f t="shared" ref="J39:Q39" si="134">SUM(J41:J50)</f>
        <v>33958.33</v>
      </c>
      <c r="K39" s="15">
        <f t="shared" si="134"/>
        <v>102708.33</v>
      </c>
      <c r="L39" s="15">
        <f t="shared" si="134"/>
        <v>132958.33000000002</v>
      </c>
      <c r="M39" s="15">
        <f t="shared" si="134"/>
        <v>173688.33000000002</v>
      </c>
      <c r="N39" s="15">
        <f t="shared" si="134"/>
        <v>122703.33</v>
      </c>
      <c r="O39" s="15">
        <f t="shared" si="134"/>
        <v>124608.33</v>
      </c>
      <c r="P39" s="15">
        <f t="shared" si="134"/>
        <v>91958.33</v>
      </c>
      <c r="Q39" s="15">
        <f t="shared" si="134"/>
        <v>61958.33</v>
      </c>
      <c r="R39" s="105">
        <f>SUM(R41:R50)</f>
        <v>39058.33</v>
      </c>
      <c r="S39" s="105">
        <f t="shared" ref="S39:AO39" si="135">SUM(S41:S50)</f>
        <v>99058.33</v>
      </c>
      <c r="T39" s="105">
        <f t="shared" si="135"/>
        <v>67058.33</v>
      </c>
      <c r="U39" s="105">
        <f t="shared" si="135"/>
        <v>65079.165000000001</v>
      </c>
      <c r="V39" s="105">
        <f t="shared" si="135"/>
        <v>7079.165</v>
      </c>
      <c r="W39" s="105">
        <f t="shared" si="135"/>
        <v>37079.165000000001</v>
      </c>
      <c r="X39" s="105">
        <f t="shared" si="135"/>
        <v>37079.165000000001</v>
      </c>
      <c r="Y39" s="105">
        <f t="shared" si="135"/>
        <v>65079.165000000001</v>
      </c>
      <c r="Z39" s="105">
        <f t="shared" si="135"/>
        <v>65079.165000000001</v>
      </c>
      <c r="AA39" s="105">
        <f t="shared" si="135"/>
        <v>65079.165000000001</v>
      </c>
      <c r="AB39" s="105">
        <f t="shared" si="135"/>
        <v>65079.165000000001</v>
      </c>
      <c r="AC39" s="105">
        <f t="shared" si="135"/>
        <v>7079.165</v>
      </c>
      <c r="AD39" s="108">
        <f t="shared" si="135"/>
        <v>7079.165</v>
      </c>
      <c r="AE39" s="108">
        <f t="shared" si="135"/>
        <v>7079.165</v>
      </c>
      <c r="AF39" s="108">
        <f t="shared" si="135"/>
        <v>35079.165000000001</v>
      </c>
      <c r="AG39" s="108">
        <f t="shared" si="135"/>
        <v>33495.832999999999</v>
      </c>
      <c r="AH39" s="108">
        <f t="shared" si="135"/>
        <v>5495.8329999999996</v>
      </c>
      <c r="AI39" s="108">
        <f t="shared" si="135"/>
        <v>35495.832999999999</v>
      </c>
      <c r="AJ39" s="108">
        <f t="shared" si="135"/>
        <v>35495.832999999999</v>
      </c>
      <c r="AK39" s="108">
        <f t="shared" si="135"/>
        <v>63495.832999999999</v>
      </c>
      <c r="AL39" s="108">
        <f t="shared" si="135"/>
        <v>35495.832999999999</v>
      </c>
      <c r="AM39" s="108">
        <f t="shared" si="135"/>
        <v>63495.832999999999</v>
      </c>
      <c r="AN39" s="108">
        <f t="shared" si="135"/>
        <v>63495.832999999999</v>
      </c>
      <c r="AO39" s="108">
        <f t="shared" si="135"/>
        <v>5495.8329999999996</v>
      </c>
      <c r="AP39" s="4" t="s">
        <v>119</v>
      </c>
      <c r="AU39" s="140" t="s">
        <v>117</v>
      </c>
    </row>
    <row r="40" spans="1:47" ht="15.75" hidden="1" customHeight="1" x14ac:dyDescent="0.3">
      <c r="B40" s="101" t="s">
        <v>98</v>
      </c>
      <c r="C40" s="26"/>
      <c r="D40" s="15">
        <v>0</v>
      </c>
      <c r="E40" s="15"/>
      <c r="F40" s="15">
        <f>SUM(F41:F50)</f>
        <v>0</v>
      </c>
      <c r="G40" s="15">
        <f t="shared" ref="G40:Q40" si="136">SUM(G41:G50)</f>
        <v>60000</v>
      </c>
      <c r="H40" s="15">
        <f t="shared" si="136"/>
        <v>77500</v>
      </c>
      <c r="I40" s="15">
        <f t="shared" si="136"/>
        <v>61958.33</v>
      </c>
      <c r="J40" s="15">
        <f t="shared" si="136"/>
        <v>33958.33</v>
      </c>
      <c r="K40" s="15">
        <f t="shared" si="136"/>
        <v>102708.33</v>
      </c>
      <c r="L40" s="15">
        <f t="shared" si="136"/>
        <v>132958.33000000002</v>
      </c>
      <c r="M40" s="15">
        <f t="shared" si="136"/>
        <v>173688.33000000002</v>
      </c>
      <c r="N40" s="15">
        <f t="shared" si="136"/>
        <v>122703.33</v>
      </c>
      <c r="O40" s="15">
        <f t="shared" si="136"/>
        <v>124608.33</v>
      </c>
      <c r="P40" s="15">
        <f t="shared" si="136"/>
        <v>91958.33</v>
      </c>
      <c r="Q40" s="15">
        <f t="shared" si="136"/>
        <v>61958.33</v>
      </c>
      <c r="R40" s="10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107">
        <f t="shared" ref="AD40:AD75" si="137">R40</f>
        <v>0</v>
      </c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U40" s="140"/>
    </row>
    <row r="41" spans="1:47" ht="15.75" hidden="1" customHeight="1" x14ac:dyDescent="0.3">
      <c r="B41" s="101"/>
      <c r="C41" s="26" t="s">
        <v>99</v>
      </c>
      <c r="D41" s="15"/>
      <c r="E41" s="15"/>
      <c r="F41" s="15"/>
      <c r="G41" s="15"/>
      <c r="H41" s="15"/>
      <c r="I41" s="15">
        <v>3958.33</v>
      </c>
      <c r="J41" s="15">
        <v>3958.33</v>
      </c>
      <c r="K41" s="15">
        <v>3958.33</v>
      </c>
      <c r="L41" s="15">
        <v>3958.33</v>
      </c>
      <c r="M41" s="15">
        <v>3958.33</v>
      </c>
      <c r="N41" s="15">
        <v>3958.33</v>
      </c>
      <c r="O41" s="15">
        <v>3958.33</v>
      </c>
      <c r="P41" s="15">
        <v>3958.33</v>
      </c>
      <c r="Q41" s="15">
        <v>3958.33</v>
      </c>
      <c r="R41" s="95">
        <f>Q41</f>
        <v>3958.33</v>
      </c>
      <c r="S41" s="95">
        <f t="shared" ref="S41:T41" si="138">R41</f>
        <v>3958.33</v>
      </c>
      <c r="T41" s="95">
        <f t="shared" si="138"/>
        <v>3958.33</v>
      </c>
      <c r="U41" s="95">
        <f>I41*0.5</f>
        <v>1979.165</v>
      </c>
      <c r="V41" s="95">
        <f t="shared" ref="V41:AF41" si="139">J41*0.5</f>
        <v>1979.165</v>
      </c>
      <c r="W41" s="95">
        <f t="shared" si="139"/>
        <v>1979.165</v>
      </c>
      <c r="X41" s="95">
        <f t="shared" si="139"/>
        <v>1979.165</v>
      </c>
      <c r="Y41" s="95">
        <f t="shared" si="139"/>
        <v>1979.165</v>
      </c>
      <c r="Z41" s="95">
        <f t="shared" si="139"/>
        <v>1979.165</v>
      </c>
      <c r="AA41" s="95">
        <f t="shared" si="139"/>
        <v>1979.165</v>
      </c>
      <c r="AB41" s="95">
        <f t="shared" si="139"/>
        <v>1979.165</v>
      </c>
      <c r="AC41" s="95">
        <f t="shared" si="139"/>
        <v>1979.165</v>
      </c>
      <c r="AD41" s="107">
        <f t="shared" si="139"/>
        <v>1979.165</v>
      </c>
      <c r="AE41" s="107">
        <f t="shared" si="139"/>
        <v>1979.165</v>
      </c>
      <c r="AF41" s="107">
        <f t="shared" si="139"/>
        <v>1979.165</v>
      </c>
      <c r="AG41" s="107">
        <f>U41*0.2</f>
        <v>395.83300000000003</v>
      </c>
      <c r="AH41" s="107">
        <f t="shared" ref="AH41:AO41" si="140">V41*0.2</f>
        <v>395.83300000000003</v>
      </c>
      <c r="AI41" s="107">
        <f t="shared" si="140"/>
        <v>395.83300000000003</v>
      </c>
      <c r="AJ41" s="107">
        <f t="shared" si="140"/>
        <v>395.83300000000003</v>
      </c>
      <c r="AK41" s="107">
        <f t="shared" si="140"/>
        <v>395.83300000000003</v>
      </c>
      <c r="AL41" s="107">
        <f t="shared" si="140"/>
        <v>395.83300000000003</v>
      </c>
      <c r="AM41" s="107">
        <f t="shared" si="140"/>
        <v>395.83300000000003</v>
      </c>
      <c r="AN41" s="107">
        <f t="shared" si="140"/>
        <v>395.83300000000003</v>
      </c>
      <c r="AO41" s="107">
        <f t="shared" si="140"/>
        <v>395.83300000000003</v>
      </c>
      <c r="AU41" s="140"/>
    </row>
    <row r="42" spans="1:47" ht="15.75" hidden="1" customHeight="1" x14ac:dyDescent="0.3">
      <c r="B42" s="101"/>
      <c r="C42" s="26" t="s">
        <v>100</v>
      </c>
      <c r="D42" s="15"/>
      <c r="E42" s="15"/>
      <c r="F42" s="15"/>
      <c r="G42" s="15"/>
      <c r="H42" s="15">
        <v>19500</v>
      </c>
      <c r="I42" s="15"/>
      <c r="J42" s="15"/>
      <c r="K42" s="15">
        <v>9000</v>
      </c>
      <c r="L42" s="15">
        <v>9000</v>
      </c>
      <c r="M42" s="15"/>
      <c r="N42" s="15"/>
      <c r="O42" s="15"/>
      <c r="P42" s="15"/>
      <c r="Q42" s="15"/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107">
        <v>0</v>
      </c>
      <c r="AE42" s="107">
        <v>0</v>
      </c>
      <c r="AF42" s="107">
        <v>0</v>
      </c>
      <c r="AG42" s="107">
        <v>0</v>
      </c>
      <c r="AH42" s="107">
        <v>0</v>
      </c>
      <c r="AI42" s="107">
        <v>0</v>
      </c>
      <c r="AJ42" s="107"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4" t="s">
        <v>120</v>
      </c>
      <c r="AU42" s="140"/>
    </row>
    <row r="43" spans="1:47" ht="15.75" hidden="1" customHeight="1" x14ac:dyDescent="0.3">
      <c r="B43" s="101"/>
      <c r="C43" s="26" t="s">
        <v>101</v>
      </c>
      <c r="D43" s="15"/>
      <c r="E43" s="15"/>
      <c r="F43" s="15"/>
      <c r="G43" s="15">
        <v>60000</v>
      </c>
      <c r="H43" s="15"/>
      <c r="I43" s="15"/>
      <c r="J43" s="15"/>
      <c r="K43" s="15">
        <v>0</v>
      </c>
      <c r="L43" s="15">
        <v>60000</v>
      </c>
      <c r="M43" s="15"/>
      <c r="N43" s="15"/>
      <c r="O43" s="15"/>
      <c r="P43" s="15"/>
      <c r="Q43" s="15"/>
      <c r="R43" s="95">
        <f t="shared" ref="R43:R75" si="141">F43</f>
        <v>0</v>
      </c>
      <c r="S43" s="95">
        <f t="shared" ref="S43:S75" si="142">G43</f>
        <v>60000</v>
      </c>
      <c r="T43" s="95">
        <f t="shared" ref="T43:T75" si="143">H43</f>
        <v>0</v>
      </c>
      <c r="U43" s="95">
        <f t="shared" ref="U43:U74" si="144">I43</f>
        <v>0</v>
      </c>
      <c r="V43" s="95">
        <f t="shared" ref="V43:V74" si="145">J43</f>
        <v>0</v>
      </c>
      <c r="W43" s="95">
        <f t="shared" ref="W43:W74" si="146">K43</f>
        <v>0</v>
      </c>
      <c r="X43" s="95">
        <v>0</v>
      </c>
      <c r="Y43" s="95">
        <f t="shared" ref="Y43:Y74" si="147">M43</f>
        <v>0</v>
      </c>
      <c r="Z43" s="95">
        <f t="shared" ref="Z43:Z74" si="148">N43</f>
        <v>0</v>
      </c>
      <c r="AA43" s="95">
        <f t="shared" ref="AA43:AA75" si="149">O43</f>
        <v>0</v>
      </c>
      <c r="AB43" s="95">
        <f t="shared" ref="AB43:AB75" si="150">P43</f>
        <v>0</v>
      </c>
      <c r="AC43" s="95">
        <f t="shared" ref="AC43:AC74" si="151">Q43</f>
        <v>0</v>
      </c>
      <c r="AD43" s="107">
        <f t="shared" si="137"/>
        <v>0</v>
      </c>
      <c r="AE43" s="107">
        <v>0</v>
      </c>
      <c r="AF43" s="107">
        <f t="shared" ref="AF43:AF75" si="152">T43</f>
        <v>0</v>
      </c>
      <c r="AG43" s="107">
        <f t="shared" ref="AG43:AG75" si="153">U43</f>
        <v>0</v>
      </c>
      <c r="AH43" s="107">
        <f t="shared" ref="AH43:AH75" si="154">V43</f>
        <v>0</v>
      </c>
      <c r="AI43" s="107">
        <f t="shared" ref="AI43:AI74" si="155">W43</f>
        <v>0</v>
      </c>
      <c r="AJ43" s="107">
        <f t="shared" ref="AJ43:AJ75" si="156">X43</f>
        <v>0</v>
      </c>
      <c r="AK43" s="107">
        <f t="shared" ref="AK43:AK75" si="157">Y43</f>
        <v>0</v>
      </c>
      <c r="AL43" s="107">
        <f t="shared" ref="AL43:AL75" si="158">Z43</f>
        <v>0</v>
      </c>
      <c r="AM43" s="107">
        <f t="shared" ref="AM43:AM75" si="159">AA43</f>
        <v>0</v>
      </c>
      <c r="AN43" s="107">
        <f t="shared" ref="AN43:AN75" si="160">AB43</f>
        <v>0</v>
      </c>
      <c r="AO43" s="107">
        <f t="shared" ref="AO43:AO74" si="161">AC43</f>
        <v>0</v>
      </c>
      <c r="AP43" s="4" t="s">
        <v>121</v>
      </c>
      <c r="AU43" s="140"/>
    </row>
    <row r="44" spans="1:47" ht="15.75" hidden="1" customHeight="1" x14ac:dyDescent="0.3">
      <c r="B44" s="101"/>
      <c r="C44" s="26" t="s">
        <v>102</v>
      </c>
      <c r="D44" s="15"/>
      <c r="E44" s="15"/>
      <c r="F44" s="15"/>
      <c r="G44" s="15"/>
      <c r="H44" s="15">
        <v>30000</v>
      </c>
      <c r="I44" s="15">
        <v>30000</v>
      </c>
      <c r="J44" s="15">
        <v>30000</v>
      </c>
      <c r="K44" s="15">
        <v>30000</v>
      </c>
      <c r="L44" s="15">
        <v>30000</v>
      </c>
      <c r="M44" s="15">
        <v>30000</v>
      </c>
      <c r="N44" s="4">
        <v>0</v>
      </c>
      <c r="O44" s="4">
        <v>0</v>
      </c>
      <c r="P44" s="4">
        <v>0</v>
      </c>
      <c r="Q44" s="4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U44" s="140"/>
    </row>
    <row r="45" spans="1:47" ht="15.75" hidden="1" customHeight="1" x14ac:dyDescent="0.3">
      <c r="B45" s="101"/>
      <c r="C45" s="26" t="s">
        <v>103</v>
      </c>
      <c r="D45" s="15"/>
      <c r="E45" s="15"/>
      <c r="F45" s="15"/>
      <c r="G45" s="15"/>
      <c r="H45" s="15"/>
      <c r="I45" s="15"/>
      <c r="J45" s="15"/>
      <c r="K45" s="15"/>
      <c r="L45" s="15"/>
      <c r="M45" s="15">
        <v>30000</v>
      </c>
      <c r="N45" s="15">
        <v>30000</v>
      </c>
      <c r="O45" s="15">
        <v>30000</v>
      </c>
      <c r="P45" s="15">
        <v>30000</v>
      </c>
      <c r="Q45" s="15">
        <v>30000</v>
      </c>
      <c r="R45" s="105">
        <v>30000</v>
      </c>
      <c r="S45" s="105">
        <v>30000</v>
      </c>
      <c r="T45" s="105">
        <v>30000</v>
      </c>
      <c r="U45" s="105">
        <v>30000</v>
      </c>
      <c r="V45" s="95">
        <f t="shared" si="145"/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U45" s="140"/>
    </row>
    <row r="46" spans="1:47" ht="15.75" hidden="1" customHeight="1" x14ac:dyDescent="0.3">
      <c r="B46" s="101"/>
      <c r="C46" s="26" t="s">
        <v>104</v>
      </c>
      <c r="D46" s="15"/>
      <c r="E46" s="15"/>
      <c r="F46" s="15"/>
      <c r="G46" s="15"/>
      <c r="H46" s="15"/>
      <c r="I46" s="15">
        <v>0</v>
      </c>
      <c r="J46" s="15">
        <v>0</v>
      </c>
      <c r="K46" s="15">
        <v>30000</v>
      </c>
      <c r="L46" s="15">
        <v>30000</v>
      </c>
      <c r="M46" s="15">
        <v>30000</v>
      </c>
      <c r="N46" s="15">
        <v>30000</v>
      </c>
      <c r="O46" s="15">
        <v>30000</v>
      </c>
      <c r="P46" s="15">
        <v>30000</v>
      </c>
      <c r="Q46" s="15">
        <v>0</v>
      </c>
      <c r="R46" s="95">
        <f t="shared" si="141"/>
        <v>0</v>
      </c>
      <c r="S46" s="95">
        <f t="shared" si="142"/>
        <v>0</v>
      </c>
      <c r="T46" s="95">
        <f t="shared" si="143"/>
        <v>0</v>
      </c>
      <c r="U46" s="95">
        <f t="shared" si="144"/>
        <v>0</v>
      </c>
      <c r="V46" s="95">
        <f t="shared" si="145"/>
        <v>0</v>
      </c>
      <c r="W46" s="95">
        <f t="shared" si="146"/>
        <v>30000</v>
      </c>
      <c r="X46" s="95">
        <f t="shared" ref="X46:X75" si="162">L46</f>
        <v>30000</v>
      </c>
      <c r="Y46" s="95">
        <f t="shared" si="147"/>
        <v>30000</v>
      </c>
      <c r="Z46" s="95">
        <f t="shared" si="148"/>
        <v>30000</v>
      </c>
      <c r="AA46" s="95">
        <f t="shared" si="149"/>
        <v>30000</v>
      </c>
      <c r="AB46" s="95">
        <f t="shared" si="150"/>
        <v>30000</v>
      </c>
      <c r="AC46" s="95">
        <f t="shared" si="151"/>
        <v>0</v>
      </c>
      <c r="AD46" s="107">
        <f t="shared" si="137"/>
        <v>0</v>
      </c>
      <c r="AE46" s="107">
        <f t="shared" ref="AE46:AE75" si="163">S46</f>
        <v>0</v>
      </c>
      <c r="AF46" s="107">
        <f t="shared" si="152"/>
        <v>0</v>
      </c>
      <c r="AG46" s="107">
        <f t="shared" si="153"/>
        <v>0</v>
      </c>
      <c r="AH46" s="107">
        <f t="shared" si="154"/>
        <v>0</v>
      </c>
      <c r="AI46" s="107">
        <f t="shared" si="155"/>
        <v>30000</v>
      </c>
      <c r="AJ46" s="107">
        <f t="shared" si="156"/>
        <v>30000</v>
      </c>
      <c r="AK46" s="107">
        <f t="shared" si="157"/>
        <v>30000</v>
      </c>
      <c r="AL46" s="107">
        <f t="shared" si="158"/>
        <v>30000</v>
      </c>
      <c r="AM46" s="107">
        <f t="shared" si="159"/>
        <v>30000</v>
      </c>
      <c r="AN46" s="107">
        <f t="shared" si="160"/>
        <v>30000</v>
      </c>
      <c r="AO46" s="107">
        <f t="shared" si="161"/>
        <v>0</v>
      </c>
      <c r="AP46" s="4" t="s">
        <v>151</v>
      </c>
      <c r="AU46" s="140"/>
    </row>
    <row r="47" spans="1:47" ht="15.75" hidden="1" customHeight="1" x14ac:dyDescent="0.3">
      <c r="B47" s="101"/>
      <c r="C47" s="26" t="s">
        <v>148</v>
      </c>
      <c r="D47" s="15"/>
      <c r="E47" s="15"/>
      <c r="F47" s="15"/>
      <c r="G47" s="15"/>
      <c r="H47" s="15">
        <v>28000</v>
      </c>
      <c r="I47" s="15">
        <v>28000</v>
      </c>
      <c r="J47" s="15"/>
      <c r="K47" s="15"/>
      <c r="L47" s="15"/>
      <c r="M47" s="15"/>
      <c r="N47" s="15"/>
      <c r="O47" s="15"/>
      <c r="P47" s="15"/>
      <c r="Q47" s="15"/>
      <c r="R47" s="95">
        <f t="shared" si="141"/>
        <v>0</v>
      </c>
      <c r="S47" s="95">
        <f t="shared" si="142"/>
        <v>0</v>
      </c>
      <c r="T47" s="95">
        <f t="shared" si="143"/>
        <v>28000</v>
      </c>
      <c r="U47" s="95">
        <f t="shared" si="144"/>
        <v>28000</v>
      </c>
      <c r="V47" s="95">
        <f t="shared" si="145"/>
        <v>0</v>
      </c>
      <c r="W47" s="95">
        <f t="shared" si="146"/>
        <v>0</v>
      </c>
      <c r="X47" s="95">
        <f t="shared" si="162"/>
        <v>0</v>
      </c>
      <c r="Y47" s="95">
        <f t="shared" si="147"/>
        <v>0</v>
      </c>
      <c r="Z47" s="95">
        <f t="shared" si="148"/>
        <v>0</v>
      </c>
      <c r="AA47" s="95">
        <f t="shared" si="149"/>
        <v>0</v>
      </c>
      <c r="AB47" s="95">
        <f t="shared" si="150"/>
        <v>0</v>
      </c>
      <c r="AC47" s="95">
        <f t="shared" si="151"/>
        <v>0</v>
      </c>
      <c r="AD47" s="107">
        <f t="shared" si="137"/>
        <v>0</v>
      </c>
      <c r="AE47" s="107">
        <f t="shared" si="163"/>
        <v>0</v>
      </c>
      <c r="AF47" s="107">
        <f t="shared" si="152"/>
        <v>28000</v>
      </c>
      <c r="AG47" s="107">
        <f t="shared" si="153"/>
        <v>28000</v>
      </c>
      <c r="AH47" s="107">
        <f t="shared" si="154"/>
        <v>0</v>
      </c>
      <c r="AI47" s="107">
        <f t="shared" si="155"/>
        <v>0</v>
      </c>
      <c r="AJ47" s="107">
        <f t="shared" si="156"/>
        <v>0</v>
      </c>
      <c r="AK47" s="107">
        <f t="shared" si="157"/>
        <v>0</v>
      </c>
      <c r="AL47" s="107">
        <f t="shared" si="158"/>
        <v>0</v>
      </c>
      <c r="AM47" s="107">
        <f t="shared" si="159"/>
        <v>0</v>
      </c>
      <c r="AN47" s="107">
        <f t="shared" si="160"/>
        <v>0</v>
      </c>
      <c r="AO47" s="107">
        <f t="shared" si="161"/>
        <v>0</v>
      </c>
      <c r="AU47" s="140"/>
    </row>
    <row r="48" spans="1:47" ht="15.75" hidden="1" customHeight="1" x14ac:dyDescent="0.3">
      <c r="B48" s="101"/>
      <c r="C48" s="26" t="s">
        <v>105</v>
      </c>
      <c r="D48" s="15"/>
      <c r="E48" s="15"/>
      <c r="F48" s="15"/>
      <c r="G48" s="15"/>
      <c r="H48" s="15"/>
      <c r="I48" s="15"/>
      <c r="J48" s="15"/>
      <c r="K48" s="15"/>
      <c r="L48" s="15">
        <v>0</v>
      </c>
      <c r="M48" s="15">
        <v>28000</v>
      </c>
      <c r="N48" s="15">
        <v>28000</v>
      </c>
      <c r="O48" s="15">
        <v>28000</v>
      </c>
      <c r="P48" s="15">
        <v>28000</v>
      </c>
      <c r="Q48" s="15">
        <v>28000</v>
      </c>
      <c r="R48" s="95">
        <v>0</v>
      </c>
      <c r="S48" s="95">
        <f t="shared" si="142"/>
        <v>0</v>
      </c>
      <c r="T48" s="95">
        <f t="shared" si="143"/>
        <v>0</v>
      </c>
      <c r="U48" s="95">
        <f t="shared" si="144"/>
        <v>0</v>
      </c>
      <c r="V48" s="95">
        <f t="shared" si="145"/>
        <v>0</v>
      </c>
      <c r="W48" s="95">
        <f t="shared" si="146"/>
        <v>0</v>
      </c>
      <c r="X48" s="95">
        <f t="shared" si="162"/>
        <v>0</v>
      </c>
      <c r="Y48" s="95">
        <f t="shared" si="147"/>
        <v>28000</v>
      </c>
      <c r="Z48" s="95">
        <f t="shared" si="148"/>
        <v>28000</v>
      </c>
      <c r="AA48" s="95">
        <f t="shared" si="149"/>
        <v>28000</v>
      </c>
      <c r="AB48" s="95">
        <f t="shared" si="150"/>
        <v>28000</v>
      </c>
      <c r="AC48" s="95">
        <v>0</v>
      </c>
      <c r="AD48" s="107">
        <f t="shared" si="137"/>
        <v>0</v>
      </c>
      <c r="AE48" s="107">
        <f t="shared" si="163"/>
        <v>0</v>
      </c>
      <c r="AF48" s="107">
        <f t="shared" si="152"/>
        <v>0</v>
      </c>
      <c r="AG48" s="107">
        <f t="shared" si="153"/>
        <v>0</v>
      </c>
      <c r="AH48" s="107">
        <f t="shared" si="154"/>
        <v>0</v>
      </c>
      <c r="AI48" s="107">
        <f t="shared" si="155"/>
        <v>0</v>
      </c>
      <c r="AJ48" s="107">
        <f t="shared" si="156"/>
        <v>0</v>
      </c>
      <c r="AK48" s="107">
        <f t="shared" si="157"/>
        <v>28000</v>
      </c>
      <c r="AL48" s="107">
        <v>0</v>
      </c>
      <c r="AM48" s="107">
        <f t="shared" si="159"/>
        <v>28000</v>
      </c>
      <c r="AN48" s="107">
        <f t="shared" si="160"/>
        <v>28000</v>
      </c>
      <c r="AO48" s="107">
        <f t="shared" si="161"/>
        <v>0</v>
      </c>
      <c r="AP48" s="4" t="s">
        <v>134</v>
      </c>
      <c r="AU48" s="140"/>
    </row>
    <row r="49" spans="1:47" ht="15.75" hidden="1" customHeight="1" x14ac:dyDescent="0.3">
      <c r="B49" s="101"/>
      <c r="C49" s="26" t="s">
        <v>106</v>
      </c>
      <c r="D49" s="15"/>
      <c r="E49" s="15"/>
      <c r="F49" s="15"/>
      <c r="G49" s="15"/>
      <c r="H49" s="15"/>
      <c r="I49" s="15"/>
      <c r="J49" s="15"/>
      <c r="K49" s="15">
        <v>29750</v>
      </c>
      <c r="L49" s="15"/>
      <c r="M49" s="15">
        <v>51730</v>
      </c>
      <c r="N49" s="15">
        <v>30745</v>
      </c>
      <c r="O49" s="15">
        <v>32650</v>
      </c>
      <c r="P49" s="15"/>
      <c r="Q49" s="15"/>
      <c r="R49" s="95">
        <f t="shared" si="141"/>
        <v>0</v>
      </c>
      <c r="S49" s="95">
        <f t="shared" si="142"/>
        <v>0</v>
      </c>
      <c r="T49" s="95">
        <f t="shared" si="143"/>
        <v>0</v>
      </c>
      <c r="U49" s="95">
        <f t="shared" si="144"/>
        <v>0</v>
      </c>
      <c r="V49" s="95">
        <f t="shared" si="145"/>
        <v>0</v>
      </c>
      <c r="W49" s="95">
        <v>0</v>
      </c>
      <c r="X49" s="95">
        <f t="shared" si="162"/>
        <v>0</v>
      </c>
      <c r="Y49" s="95">
        <v>0</v>
      </c>
      <c r="Z49" s="95">
        <v>0</v>
      </c>
      <c r="AA49" s="95">
        <v>0</v>
      </c>
      <c r="AB49" s="95">
        <f t="shared" si="150"/>
        <v>0</v>
      </c>
      <c r="AC49" s="95">
        <f t="shared" si="151"/>
        <v>0</v>
      </c>
      <c r="AD49" s="107">
        <f t="shared" si="137"/>
        <v>0</v>
      </c>
      <c r="AE49" s="107">
        <f t="shared" si="163"/>
        <v>0</v>
      </c>
      <c r="AF49" s="107">
        <f t="shared" si="152"/>
        <v>0</v>
      </c>
      <c r="AG49" s="107">
        <f t="shared" si="153"/>
        <v>0</v>
      </c>
      <c r="AH49" s="107">
        <f t="shared" si="154"/>
        <v>0</v>
      </c>
      <c r="AI49" s="107">
        <v>0</v>
      </c>
      <c r="AJ49" s="107">
        <f t="shared" si="156"/>
        <v>0</v>
      </c>
      <c r="AK49" s="107">
        <v>0</v>
      </c>
      <c r="AL49" s="107">
        <v>0</v>
      </c>
      <c r="AM49" s="107">
        <v>0</v>
      </c>
      <c r="AN49" s="107">
        <f t="shared" si="160"/>
        <v>0</v>
      </c>
      <c r="AO49" s="107">
        <f t="shared" si="161"/>
        <v>0</v>
      </c>
      <c r="AU49" s="140"/>
    </row>
    <row r="50" spans="1:47" ht="15.75" hidden="1" customHeight="1" x14ac:dyDescent="0.3">
      <c r="B50" s="101"/>
      <c r="C50" s="26" t="s">
        <v>39</v>
      </c>
      <c r="D50" s="15"/>
      <c r="E50" s="15"/>
      <c r="F50" s="15"/>
      <c r="G50" s="15"/>
      <c r="H50" s="15"/>
      <c r="I50" s="15"/>
      <c r="J50" s="15"/>
      <c r="K50" s="15">
        <v>0</v>
      </c>
      <c r="L50" s="15"/>
      <c r="M50" s="15">
        <v>0</v>
      </c>
      <c r="N50" s="15"/>
      <c r="O50" s="15"/>
      <c r="P50" s="15"/>
      <c r="Q50" s="15"/>
      <c r="R50" s="95">
        <v>5100</v>
      </c>
      <c r="S50" s="95">
        <v>5100</v>
      </c>
      <c r="T50" s="95">
        <v>5100</v>
      </c>
      <c r="U50" s="95">
        <v>5100</v>
      </c>
      <c r="V50" s="95">
        <v>5100</v>
      </c>
      <c r="W50" s="95">
        <v>5100</v>
      </c>
      <c r="X50" s="95">
        <v>5100</v>
      </c>
      <c r="Y50" s="95">
        <v>5100</v>
      </c>
      <c r="Z50" s="95">
        <v>5100</v>
      </c>
      <c r="AA50" s="95">
        <v>5100</v>
      </c>
      <c r="AB50" s="95">
        <v>5100</v>
      </c>
      <c r="AC50" s="95">
        <v>5100</v>
      </c>
      <c r="AD50" s="107">
        <v>5100</v>
      </c>
      <c r="AE50" s="107">
        <v>5100</v>
      </c>
      <c r="AF50" s="107">
        <v>5100</v>
      </c>
      <c r="AG50" s="107">
        <v>5100</v>
      </c>
      <c r="AH50" s="107">
        <v>5100</v>
      </c>
      <c r="AI50" s="107">
        <v>5100</v>
      </c>
      <c r="AJ50" s="107">
        <v>5100</v>
      </c>
      <c r="AK50" s="107">
        <v>5100</v>
      </c>
      <c r="AL50" s="107">
        <v>5100</v>
      </c>
      <c r="AM50" s="107">
        <v>5100</v>
      </c>
      <c r="AN50" s="107">
        <v>5100</v>
      </c>
      <c r="AO50" s="107">
        <v>5100</v>
      </c>
      <c r="AU50" s="140"/>
    </row>
    <row r="51" spans="1:47" ht="15.75" hidden="1" customHeight="1" x14ac:dyDescent="0.3">
      <c r="B51" s="101"/>
      <c r="C51" s="2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95">
        <f t="shared" si="141"/>
        <v>0</v>
      </c>
      <c r="S51" s="95">
        <f t="shared" si="142"/>
        <v>0</v>
      </c>
      <c r="T51" s="95">
        <f t="shared" si="143"/>
        <v>0</v>
      </c>
      <c r="U51" s="95">
        <f t="shared" si="144"/>
        <v>0</v>
      </c>
      <c r="V51" s="95">
        <f t="shared" si="145"/>
        <v>0</v>
      </c>
      <c r="W51" s="95">
        <f t="shared" si="146"/>
        <v>0</v>
      </c>
      <c r="X51" s="95">
        <f t="shared" si="162"/>
        <v>0</v>
      </c>
      <c r="Y51" s="95">
        <f t="shared" si="147"/>
        <v>0</v>
      </c>
      <c r="Z51" s="95">
        <f t="shared" si="148"/>
        <v>0</v>
      </c>
      <c r="AA51" s="95">
        <f t="shared" si="149"/>
        <v>0</v>
      </c>
      <c r="AB51" s="95">
        <f t="shared" si="150"/>
        <v>0</v>
      </c>
      <c r="AC51" s="95">
        <f t="shared" si="151"/>
        <v>0</v>
      </c>
      <c r="AD51" s="107">
        <f t="shared" si="137"/>
        <v>0</v>
      </c>
      <c r="AE51" s="107">
        <f t="shared" si="163"/>
        <v>0</v>
      </c>
      <c r="AF51" s="107">
        <f t="shared" si="152"/>
        <v>0</v>
      </c>
      <c r="AG51" s="107">
        <f t="shared" si="153"/>
        <v>0</v>
      </c>
      <c r="AH51" s="107">
        <f t="shared" si="154"/>
        <v>0</v>
      </c>
      <c r="AI51" s="107">
        <f t="shared" si="155"/>
        <v>0</v>
      </c>
      <c r="AJ51" s="107">
        <f t="shared" si="156"/>
        <v>0</v>
      </c>
      <c r="AK51" s="107">
        <f t="shared" si="157"/>
        <v>0</v>
      </c>
      <c r="AL51" s="107">
        <f t="shared" si="158"/>
        <v>0</v>
      </c>
      <c r="AM51" s="107">
        <f t="shared" si="159"/>
        <v>0</v>
      </c>
      <c r="AN51" s="107">
        <f t="shared" si="160"/>
        <v>0</v>
      </c>
      <c r="AO51" s="107">
        <f t="shared" si="161"/>
        <v>0</v>
      </c>
      <c r="AU51" s="140"/>
    </row>
    <row r="52" spans="1:47" ht="15.75" hidden="1" customHeight="1" x14ac:dyDescent="0.3">
      <c r="B52" s="101"/>
      <c r="C52" s="2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95">
        <f t="shared" si="141"/>
        <v>0</v>
      </c>
      <c r="S52" s="95">
        <f t="shared" si="142"/>
        <v>0</v>
      </c>
      <c r="T52" s="95">
        <f t="shared" si="143"/>
        <v>0</v>
      </c>
      <c r="U52" s="95">
        <f t="shared" si="144"/>
        <v>0</v>
      </c>
      <c r="V52" s="95">
        <f t="shared" si="145"/>
        <v>0</v>
      </c>
      <c r="W52" s="95">
        <f t="shared" si="146"/>
        <v>0</v>
      </c>
      <c r="X52" s="95">
        <f t="shared" si="162"/>
        <v>0</v>
      </c>
      <c r="Y52" s="95">
        <f t="shared" si="147"/>
        <v>0</v>
      </c>
      <c r="Z52" s="95">
        <f t="shared" si="148"/>
        <v>0</v>
      </c>
      <c r="AA52" s="95">
        <f t="shared" si="149"/>
        <v>0</v>
      </c>
      <c r="AB52" s="95">
        <f t="shared" si="150"/>
        <v>0</v>
      </c>
      <c r="AC52" s="95">
        <f t="shared" si="151"/>
        <v>0</v>
      </c>
      <c r="AD52" s="107">
        <f t="shared" si="137"/>
        <v>0</v>
      </c>
      <c r="AE52" s="107">
        <f t="shared" si="163"/>
        <v>0</v>
      </c>
      <c r="AF52" s="107">
        <f t="shared" si="152"/>
        <v>0</v>
      </c>
      <c r="AG52" s="107">
        <f t="shared" si="153"/>
        <v>0</v>
      </c>
      <c r="AH52" s="107">
        <f t="shared" si="154"/>
        <v>0</v>
      </c>
      <c r="AI52" s="107">
        <f t="shared" si="155"/>
        <v>0</v>
      </c>
      <c r="AJ52" s="107">
        <f t="shared" si="156"/>
        <v>0</v>
      </c>
      <c r="AK52" s="107">
        <f t="shared" si="157"/>
        <v>0</v>
      </c>
      <c r="AL52" s="107">
        <f t="shared" si="158"/>
        <v>0</v>
      </c>
      <c r="AM52" s="107">
        <f t="shared" si="159"/>
        <v>0</v>
      </c>
      <c r="AN52" s="107">
        <f t="shared" si="160"/>
        <v>0</v>
      </c>
      <c r="AO52" s="107">
        <f t="shared" si="161"/>
        <v>0</v>
      </c>
      <c r="AU52" s="140"/>
    </row>
    <row r="53" spans="1:47" x14ac:dyDescent="0.3">
      <c r="A53" s="1"/>
      <c r="B53" s="15" t="s">
        <v>93</v>
      </c>
      <c r="C53" s="26"/>
      <c r="D53" s="15"/>
      <c r="E53" s="15"/>
      <c r="F53" s="15">
        <v>0</v>
      </c>
      <c r="G53" s="15">
        <v>0</v>
      </c>
      <c r="H53" s="15">
        <v>0</v>
      </c>
      <c r="I53" s="15">
        <v>0</v>
      </c>
      <c r="J53" s="15">
        <v>115800</v>
      </c>
      <c r="K53" s="15">
        <v>0</v>
      </c>
      <c r="L53" s="15">
        <v>0</v>
      </c>
      <c r="M53" s="15">
        <v>0</v>
      </c>
      <c r="N53" s="15">
        <f>325600</f>
        <v>325600</v>
      </c>
      <c r="O53" s="15">
        <v>0</v>
      </c>
      <c r="P53" s="15">
        <v>83200</v>
      </c>
      <c r="Q53" s="15">
        <v>109800</v>
      </c>
      <c r="R53" s="95">
        <f>0</f>
        <v>0</v>
      </c>
      <c r="S53" s="95">
        <v>114000</v>
      </c>
      <c r="T53" s="95">
        <f>0</f>
        <v>0</v>
      </c>
      <c r="U53" s="95">
        <v>114000</v>
      </c>
      <c r="V53" s="95">
        <f>0</f>
        <v>0</v>
      </c>
      <c r="W53" s="95">
        <v>114000</v>
      </c>
      <c r="X53" s="95">
        <f>0</f>
        <v>0</v>
      </c>
      <c r="Y53" s="95">
        <v>114000</v>
      </c>
      <c r="Z53" s="95">
        <f>0</f>
        <v>0</v>
      </c>
      <c r="AA53" s="95">
        <v>114000</v>
      </c>
      <c r="AB53" s="95">
        <f>0</f>
        <v>0</v>
      </c>
      <c r="AC53" s="95">
        <v>114000</v>
      </c>
      <c r="AD53" s="107">
        <f>0</f>
        <v>0</v>
      </c>
      <c r="AE53" s="107">
        <v>114000</v>
      </c>
      <c r="AF53" s="107">
        <f>0</f>
        <v>0</v>
      </c>
      <c r="AG53" s="107">
        <v>114007</v>
      </c>
      <c r="AH53" s="107">
        <f>0</f>
        <v>0</v>
      </c>
      <c r="AI53" s="107">
        <v>114008</v>
      </c>
      <c r="AJ53" s="107">
        <f>0</f>
        <v>0</v>
      </c>
      <c r="AK53" s="107">
        <v>114009</v>
      </c>
      <c r="AL53" s="107">
        <f>0</f>
        <v>0</v>
      </c>
      <c r="AM53" s="107">
        <v>114010</v>
      </c>
      <c r="AN53" s="107">
        <f>0</f>
        <v>0</v>
      </c>
      <c r="AO53" s="107">
        <v>114011</v>
      </c>
      <c r="AP53" s="4" t="s">
        <v>118</v>
      </c>
      <c r="AU53" s="140"/>
    </row>
    <row r="54" spans="1:47" x14ac:dyDescent="0.3">
      <c r="B54" s="101" t="s">
        <v>94</v>
      </c>
      <c r="C54" s="26"/>
      <c r="D54" s="15">
        <v>0</v>
      </c>
      <c r="E54" s="15"/>
      <c r="F54" s="15">
        <v>0</v>
      </c>
      <c r="G54" s="15">
        <v>0</v>
      </c>
      <c r="H54" s="15">
        <v>90000</v>
      </c>
      <c r="I54" s="15">
        <v>14000</v>
      </c>
      <c r="J54" s="15">
        <v>20000</v>
      </c>
      <c r="K54" s="15">
        <v>30000</v>
      </c>
      <c r="L54" s="15">
        <v>210000</v>
      </c>
      <c r="M54" s="15">
        <v>0</v>
      </c>
      <c r="N54" s="15"/>
      <c r="O54" s="15"/>
      <c r="P54" s="15"/>
      <c r="Q54" s="15">
        <v>148000</v>
      </c>
      <c r="R54" s="95"/>
      <c r="S54" s="95"/>
      <c r="T54" s="95"/>
      <c r="U54" s="95"/>
      <c r="V54" s="95"/>
      <c r="W54" s="95"/>
      <c r="X54" s="95">
        <f t="shared" si="162"/>
        <v>210000</v>
      </c>
      <c r="Y54" s="95">
        <f t="shared" si="147"/>
        <v>0</v>
      </c>
      <c r="Z54" s="95">
        <f t="shared" si="148"/>
        <v>0</v>
      </c>
      <c r="AA54" s="95">
        <f t="shared" si="149"/>
        <v>0</v>
      </c>
      <c r="AB54" s="95">
        <v>148000</v>
      </c>
      <c r="AC54" s="95">
        <f t="shared" si="151"/>
        <v>148000</v>
      </c>
      <c r="AD54" s="107">
        <f t="shared" si="137"/>
        <v>0</v>
      </c>
      <c r="AE54" s="107">
        <f t="shared" si="163"/>
        <v>0</v>
      </c>
      <c r="AF54" s="107">
        <f t="shared" si="152"/>
        <v>0</v>
      </c>
      <c r="AG54" s="107">
        <f t="shared" si="153"/>
        <v>0</v>
      </c>
      <c r="AH54" s="107">
        <f t="shared" si="154"/>
        <v>0</v>
      </c>
      <c r="AI54" s="107">
        <f t="shared" si="155"/>
        <v>0</v>
      </c>
      <c r="AJ54" s="107">
        <f t="shared" si="156"/>
        <v>210000</v>
      </c>
      <c r="AK54" s="107">
        <f t="shared" si="157"/>
        <v>0</v>
      </c>
      <c r="AL54" s="107">
        <f t="shared" si="158"/>
        <v>0</v>
      </c>
      <c r="AM54" s="107">
        <f t="shared" si="159"/>
        <v>0</v>
      </c>
      <c r="AN54" s="107">
        <f t="shared" si="160"/>
        <v>148000</v>
      </c>
      <c r="AO54" s="107">
        <f t="shared" si="161"/>
        <v>148000</v>
      </c>
      <c r="AP54" s="4" t="s">
        <v>116</v>
      </c>
      <c r="AU54" s="140"/>
    </row>
    <row r="55" spans="1:47" x14ac:dyDescent="0.3">
      <c r="A55" s="16"/>
      <c r="B55" s="18" t="s">
        <v>80</v>
      </c>
      <c r="C55" s="26"/>
      <c r="D55" s="15"/>
      <c r="E55" s="15"/>
      <c r="F55" s="15">
        <v>20000</v>
      </c>
      <c r="G55" s="15">
        <v>15000</v>
      </c>
      <c r="H55" s="15">
        <v>0</v>
      </c>
      <c r="I55" s="15">
        <v>0</v>
      </c>
      <c r="J55" s="15">
        <v>0</v>
      </c>
      <c r="K55" s="15">
        <v>80000</v>
      </c>
      <c r="L55" s="15">
        <v>0</v>
      </c>
      <c r="M55" s="15">
        <v>10000</v>
      </c>
      <c r="N55" s="15">
        <v>15000</v>
      </c>
      <c r="O55" s="15">
        <v>5000</v>
      </c>
      <c r="P55" s="15">
        <v>12500</v>
      </c>
      <c r="Q55" s="15">
        <v>10000</v>
      </c>
      <c r="R55" s="105">
        <v>10000</v>
      </c>
      <c r="S55" s="105">
        <v>10000</v>
      </c>
      <c r="T55" s="105">
        <v>0</v>
      </c>
      <c r="U55" s="105">
        <v>65000</v>
      </c>
      <c r="V55" s="105">
        <v>20000</v>
      </c>
      <c r="W55" s="105">
        <v>60000</v>
      </c>
      <c r="X55" s="105">
        <v>0</v>
      </c>
      <c r="Y55" s="105">
        <v>20000</v>
      </c>
      <c r="Z55" s="105">
        <v>15000</v>
      </c>
      <c r="AA55" s="105">
        <v>10000</v>
      </c>
      <c r="AB55" s="105">
        <v>12500</v>
      </c>
      <c r="AC55" s="105">
        <v>10000</v>
      </c>
      <c r="AD55" s="108">
        <v>10000</v>
      </c>
      <c r="AE55" s="108">
        <v>10000</v>
      </c>
      <c r="AF55" s="108">
        <v>0</v>
      </c>
      <c r="AG55" s="108">
        <v>65000</v>
      </c>
      <c r="AH55" s="108">
        <v>20000</v>
      </c>
      <c r="AI55" s="108">
        <v>60000</v>
      </c>
      <c r="AJ55" s="108">
        <v>0</v>
      </c>
      <c r="AK55" s="108">
        <v>20000</v>
      </c>
      <c r="AL55" s="108">
        <v>15000</v>
      </c>
      <c r="AM55" s="108">
        <v>10000</v>
      </c>
      <c r="AN55" s="108">
        <v>12500</v>
      </c>
      <c r="AO55" s="108">
        <v>10000</v>
      </c>
      <c r="AP55" s="15" t="s">
        <v>153</v>
      </c>
      <c r="AQ55" s="106"/>
    </row>
    <row r="56" spans="1:47" s="16" customFormat="1" x14ac:dyDescent="0.3">
      <c r="A56" s="20" t="s">
        <v>15</v>
      </c>
      <c r="B56" s="20"/>
      <c r="D56" s="37">
        <f t="shared" ref="D56:E56" si="164">SUM(D39:D55)</f>
        <v>0</v>
      </c>
      <c r="E56" s="37">
        <f t="shared" si="164"/>
        <v>112000</v>
      </c>
      <c r="F56" s="21">
        <f>F39+F53+F54+F55</f>
        <v>104000</v>
      </c>
      <c r="G56" s="21">
        <f t="shared" ref="G56:M56" si="165">G39+G53+G54+G55</f>
        <v>39000</v>
      </c>
      <c r="H56" s="21">
        <f t="shared" si="165"/>
        <v>109500</v>
      </c>
      <c r="I56" s="21">
        <f t="shared" si="165"/>
        <v>75958.33</v>
      </c>
      <c r="J56" s="21">
        <f t="shared" si="165"/>
        <v>169758.33000000002</v>
      </c>
      <c r="K56" s="21">
        <f t="shared" si="165"/>
        <v>212708.33000000002</v>
      </c>
      <c r="L56" s="21">
        <f t="shared" si="165"/>
        <v>342958.33</v>
      </c>
      <c r="M56" s="21">
        <f t="shared" si="165"/>
        <v>183688.33000000002</v>
      </c>
      <c r="N56" s="21">
        <f t="shared" ref="N56" si="166">N39+N53+N54+N55</f>
        <v>463303.33</v>
      </c>
      <c r="O56" s="21">
        <f t="shared" ref="O56" si="167">O39+O53+O54+O55</f>
        <v>129608.33</v>
      </c>
      <c r="P56" s="21">
        <f t="shared" ref="P56" si="168">P39+P53+P54+P55</f>
        <v>187658.33000000002</v>
      </c>
      <c r="Q56" s="21">
        <f t="shared" ref="Q56" si="169">Q39+Q53+Q54+Q55</f>
        <v>329758.33</v>
      </c>
      <c r="R56" s="132">
        <f t="shared" ref="R56" si="170">R39+R53+R54+R55</f>
        <v>49058.33</v>
      </c>
      <c r="S56" s="132">
        <f t="shared" ref="S56:T56" si="171">S39+S53+S54+S55</f>
        <v>223058.33000000002</v>
      </c>
      <c r="T56" s="132">
        <f t="shared" si="171"/>
        <v>67058.33</v>
      </c>
      <c r="U56" s="132">
        <f t="shared" ref="U56" si="172">U39+U53+U54+U55</f>
        <v>244079.16500000001</v>
      </c>
      <c r="V56" s="132">
        <f t="shared" ref="V56" si="173">V39+V53+V54+V55</f>
        <v>27079.165000000001</v>
      </c>
      <c r="W56" s="132">
        <f t="shared" ref="W56" si="174">W39+W53+W54+W55</f>
        <v>211079.16500000001</v>
      </c>
      <c r="X56" s="132">
        <f t="shared" ref="X56" si="175">X39+X53+X54+X55</f>
        <v>247079.16500000001</v>
      </c>
      <c r="Y56" s="132">
        <f t="shared" ref="Y56" si="176">Y39+Y53+Y54+Y55</f>
        <v>199079.16500000001</v>
      </c>
      <c r="Z56" s="132">
        <f t="shared" ref="Z56:AA56" si="177">Z39+Z53+Z54+Z55</f>
        <v>80079.165000000008</v>
      </c>
      <c r="AA56" s="132">
        <f t="shared" si="177"/>
        <v>189079.16500000001</v>
      </c>
      <c r="AB56" s="132">
        <f t="shared" ref="AB56" si="178">AB39+AB53+AB54+AB55</f>
        <v>225579.16500000001</v>
      </c>
      <c r="AC56" s="132">
        <f t="shared" ref="AC56" si="179">AC39+AC53+AC54+AC55</f>
        <v>279079.16499999998</v>
      </c>
      <c r="AD56" s="134">
        <f t="shared" ref="AD56" si="180">AD39+AD53+AD54+AD55</f>
        <v>17079.165000000001</v>
      </c>
      <c r="AE56" s="134">
        <f t="shared" ref="AE56" si="181">AE39+AE53+AE54+AE55</f>
        <v>131079.16499999998</v>
      </c>
      <c r="AF56" s="134">
        <f t="shared" ref="AF56" si="182">AF39+AF53+AF54+AF55</f>
        <v>35079.165000000001</v>
      </c>
      <c r="AG56" s="134">
        <f t="shared" ref="AG56:AH56" si="183">AG39+AG53+AG54+AG55</f>
        <v>212502.83299999998</v>
      </c>
      <c r="AH56" s="134">
        <f t="shared" si="183"/>
        <v>25495.832999999999</v>
      </c>
      <c r="AI56" s="134">
        <f t="shared" ref="AI56" si="184">AI39+AI53+AI54+AI55</f>
        <v>209503.83299999998</v>
      </c>
      <c r="AJ56" s="134">
        <f t="shared" ref="AJ56" si="185">AJ39+AJ53+AJ54+AJ55</f>
        <v>245495.83299999998</v>
      </c>
      <c r="AK56" s="134">
        <f t="shared" ref="AK56" si="186">AK39+AK53+AK54+AK55</f>
        <v>197504.83299999998</v>
      </c>
      <c r="AL56" s="134">
        <f t="shared" ref="AL56" si="187">AL39+AL53+AL54+AL55</f>
        <v>50495.832999999999</v>
      </c>
      <c r="AM56" s="134">
        <f t="shared" ref="AM56" si="188">AM39+AM53+AM54+AM55</f>
        <v>187505.83299999998</v>
      </c>
      <c r="AN56" s="134">
        <f t="shared" ref="AN56:AO56" si="189">AN39+AN53+AN54+AN55</f>
        <v>223995.83299999998</v>
      </c>
      <c r="AO56" s="134">
        <f t="shared" si="189"/>
        <v>277506.83299999998</v>
      </c>
      <c r="AP56" s="10"/>
    </row>
    <row r="57" spans="1:47" s="4" customFormat="1" x14ac:dyDescent="0.3">
      <c r="A57" s="10"/>
      <c r="B57" s="10"/>
      <c r="C57" s="15" t="s">
        <v>44</v>
      </c>
      <c r="D57" s="15">
        <v>0</v>
      </c>
      <c r="E57" s="15"/>
      <c r="F57" s="15">
        <v>-18462</v>
      </c>
      <c r="G57" s="15">
        <v>-18462</v>
      </c>
      <c r="H57" s="15">
        <v>-18462</v>
      </c>
      <c r="I57" s="15">
        <v>-18462</v>
      </c>
      <c r="J57" s="15">
        <v>-18462</v>
      </c>
      <c r="K57" s="15">
        <v>-18462</v>
      </c>
      <c r="L57" s="15">
        <v>-18462</v>
      </c>
      <c r="M57" s="15">
        <v>-18462</v>
      </c>
      <c r="N57" s="15">
        <v>-18462</v>
      </c>
      <c r="O57" s="15">
        <v>-18462</v>
      </c>
      <c r="P57" s="15">
        <v>-18462</v>
      </c>
      <c r="Q57" s="15">
        <v>-18462</v>
      </c>
      <c r="R57" s="105">
        <v>-18462</v>
      </c>
      <c r="S57" s="105">
        <v>-18462</v>
      </c>
      <c r="T57" s="105">
        <v>-18462</v>
      </c>
      <c r="U57" s="105">
        <v>-18462</v>
      </c>
      <c r="V57" s="105">
        <v>-18462</v>
      </c>
      <c r="W57" s="105">
        <v>-18462</v>
      </c>
      <c r="X57" s="105">
        <v>-18462</v>
      </c>
      <c r="Y57" s="105">
        <v>-18462</v>
      </c>
      <c r="Z57" s="105">
        <v>-18462</v>
      </c>
      <c r="AA57" s="105">
        <v>-18462</v>
      </c>
      <c r="AB57" s="105">
        <v>-18462</v>
      </c>
      <c r="AC57" s="105">
        <v>-18462</v>
      </c>
      <c r="AD57" s="108">
        <v>-18462</v>
      </c>
      <c r="AE57" s="108">
        <v>-18462</v>
      </c>
      <c r="AF57" s="108">
        <v>-18462</v>
      </c>
      <c r="AG57" s="108">
        <v>-18462</v>
      </c>
      <c r="AH57" s="108">
        <v>-18462</v>
      </c>
      <c r="AI57" s="108">
        <v>-18462</v>
      </c>
      <c r="AJ57" s="108">
        <v>-18462</v>
      </c>
      <c r="AK57" s="108">
        <v>-18462</v>
      </c>
      <c r="AL57" s="108">
        <v>-18462</v>
      </c>
      <c r="AM57" s="108">
        <v>-18462</v>
      </c>
      <c r="AN57" s="108">
        <v>-18462</v>
      </c>
      <c r="AO57" s="108">
        <v>-18462</v>
      </c>
      <c r="AP57" s="4" t="s">
        <v>125</v>
      </c>
    </row>
    <row r="58" spans="1:47" x14ac:dyDescent="0.3">
      <c r="A58" s="16"/>
      <c r="B58" s="16"/>
      <c r="C58" s="15" t="s">
        <v>45</v>
      </c>
      <c r="D58" s="15">
        <v>-285123</v>
      </c>
      <c r="E58" s="15">
        <v>-297900</v>
      </c>
      <c r="F58" s="15">
        <v>-214175</v>
      </c>
      <c r="G58" s="15">
        <v>-214175</v>
      </c>
      <c r="H58" s="15">
        <v>-168000</v>
      </c>
      <c r="I58" s="15">
        <v>-158000</v>
      </c>
      <c r="J58" s="15">
        <v>-180000</v>
      </c>
      <c r="K58" s="15">
        <v>-155000</v>
      </c>
      <c r="L58" s="15">
        <v>-155000</v>
      </c>
      <c r="M58" s="15">
        <v>-175000</v>
      </c>
      <c r="N58" s="15">
        <v>-175000</v>
      </c>
      <c r="O58" s="15">
        <v>-175000</v>
      </c>
      <c r="P58" s="15">
        <v>-175000</v>
      </c>
      <c r="Q58" s="15">
        <v>-175000</v>
      </c>
      <c r="R58" s="95">
        <v>-175000</v>
      </c>
      <c r="S58" s="95">
        <v>-175000</v>
      </c>
      <c r="T58" s="95">
        <v>-175000</v>
      </c>
      <c r="U58" s="95">
        <v>-175000</v>
      </c>
      <c r="V58" s="95">
        <v>-175000</v>
      </c>
      <c r="W58" s="95">
        <v>-175000</v>
      </c>
      <c r="X58" s="95">
        <v>-175000</v>
      </c>
      <c r="Y58" s="95">
        <v>-175000</v>
      </c>
      <c r="Z58" s="95">
        <v>-175000</v>
      </c>
      <c r="AA58" s="95">
        <v>-175000</v>
      </c>
      <c r="AB58" s="95">
        <v>-175000</v>
      </c>
      <c r="AC58" s="95">
        <v>-175000</v>
      </c>
      <c r="AD58" s="107">
        <v>-175000</v>
      </c>
      <c r="AE58" s="107">
        <v>-175000</v>
      </c>
      <c r="AF58" s="107">
        <v>-175000</v>
      </c>
      <c r="AG58" s="107">
        <v>-175000</v>
      </c>
      <c r="AH58" s="107">
        <v>-175000</v>
      </c>
      <c r="AI58" s="107">
        <v>-175000</v>
      </c>
      <c r="AJ58" s="107">
        <v>-175000</v>
      </c>
      <c r="AK58" s="107">
        <v>-175000</v>
      </c>
      <c r="AL58" s="107">
        <v>-175000</v>
      </c>
      <c r="AM58" s="107">
        <v>-175000</v>
      </c>
      <c r="AN58" s="107">
        <v>-175000</v>
      </c>
      <c r="AO58" s="107">
        <v>-175000</v>
      </c>
      <c r="AP58" s="4" t="s">
        <v>146</v>
      </c>
    </row>
    <row r="59" spans="1:47" x14ac:dyDescent="0.3">
      <c r="A59" s="16"/>
      <c r="B59" s="16"/>
      <c r="C59" s="15" t="s">
        <v>79</v>
      </c>
      <c r="D59" s="15">
        <f>448439/52*-4</f>
        <v>-34495.307692307695</v>
      </c>
      <c r="E59" s="15">
        <f>448439/52*-4</f>
        <v>-34495.307692307695</v>
      </c>
      <c r="F59" s="15">
        <f>448439/52*-5</f>
        <v>-43119.134615384617</v>
      </c>
      <c r="G59" s="15">
        <f>448439/52*-4</f>
        <v>-34495.307692307695</v>
      </c>
      <c r="H59" s="15">
        <f>448439/52*-4</f>
        <v>-34495.307692307695</v>
      </c>
      <c r="I59" s="15">
        <f>448439/52*-5</f>
        <v>-43119.134615384617</v>
      </c>
      <c r="J59" s="15">
        <f>448439/52*-4</f>
        <v>-34495.307692307695</v>
      </c>
      <c r="K59" s="15">
        <f>448439/52*-4</f>
        <v>-34495.307692307695</v>
      </c>
      <c r="L59" s="15">
        <f>448439/52*-5</f>
        <v>-43119.134615384617</v>
      </c>
      <c r="M59" s="15">
        <f>448439/52*-4</f>
        <v>-34495.307692307695</v>
      </c>
      <c r="N59" s="15">
        <f>448439/52*-4</f>
        <v>-34495.307692307695</v>
      </c>
      <c r="O59" s="15">
        <f>448439/52*-5</f>
        <v>-43119.134615384617</v>
      </c>
      <c r="P59" s="15">
        <f>448439/52*-4</f>
        <v>-34495.307692307695</v>
      </c>
      <c r="Q59" s="15">
        <f>448439/52*-4</f>
        <v>-34495.307692307695</v>
      </c>
      <c r="R59" s="105">
        <f>(F59*1.05)</f>
        <v>-45275.091346153851</v>
      </c>
      <c r="S59" s="105">
        <f t="shared" ref="S59:AB59" si="190">(G59*1.05)</f>
        <v>-36220.073076923079</v>
      </c>
      <c r="T59" s="105">
        <f t="shared" si="190"/>
        <v>-36220.073076923079</v>
      </c>
      <c r="U59" s="105">
        <f t="shared" si="190"/>
        <v>-45275.091346153851</v>
      </c>
      <c r="V59" s="105">
        <f t="shared" si="190"/>
        <v>-36220.073076923079</v>
      </c>
      <c r="W59" s="105">
        <f t="shared" si="190"/>
        <v>-36220.073076923079</v>
      </c>
      <c r="X59" s="105">
        <f t="shared" si="190"/>
        <v>-45275.091346153851</v>
      </c>
      <c r="Y59" s="105">
        <f t="shared" si="190"/>
        <v>-36220.073076923079</v>
      </c>
      <c r="Z59" s="105">
        <f t="shared" si="190"/>
        <v>-36220.073076923079</v>
      </c>
      <c r="AA59" s="105">
        <f t="shared" si="190"/>
        <v>-45275.091346153851</v>
      </c>
      <c r="AB59" s="105">
        <f t="shared" si="190"/>
        <v>-36220.073076923079</v>
      </c>
      <c r="AC59" s="105">
        <f t="shared" ref="AC59:AO59" si="191">(Q59*1.05)</f>
        <v>-36220.073076923079</v>
      </c>
      <c r="AD59" s="108">
        <f t="shared" si="191"/>
        <v>-47538.845913461548</v>
      </c>
      <c r="AE59" s="108">
        <f t="shared" si="191"/>
        <v>-38031.076730769237</v>
      </c>
      <c r="AF59" s="108">
        <f t="shared" si="191"/>
        <v>-38031.076730769237</v>
      </c>
      <c r="AG59" s="108">
        <f t="shared" si="191"/>
        <v>-47538.845913461548</v>
      </c>
      <c r="AH59" s="108">
        <f t="shared" si="191"/>
        <v>-38031.076730769237</v>
      </c>
      <c r="AI59" s="108">
        <f t="shared" si="191"/>
        <v>-38031.076730769237</v>
      </c>
      <c r="AJ59" s="108">
        <f t="shared" si="191"/>
        <v>-47538.845913461548</v>
      </c>
      <c r="AK59" s="108">
        <f t="shared" si="191"/>
        <v>-38031.076730769237</v>
      </c>
      <c r="AL59" s="108">
        <f t="shared" si="191"/>
        <v>-38031.076730769237</v>
      </c>
      <c r="AM59" s="108">
        <f t="shared" si="191"/>
        <v>-47538.845913461548</v>
      </c>
      <c r="AN59" s="108">
        <f t="shared" si="191"/>
        <v>-38031.076730769237</v>
      </c>
      <c r="AO59" s="108">
        <f t="shared" si="191"/>
        <v>-38031.076730769237</v>
      </c>
      <c r="AP59" s="4" t="s">
        <v>156</v>
      </c>
      <c r="AS59" s="1">
        <f>SUM(AD59:AO59)</f>
        <v>-494403.99750000011</v>
      </c>
    </row>
    <row r="60" spans="1:47" x14ac:dyDescent="0.3">
      <c r="A60" s="16"/>
      <c r="B60" s="16"/>
      <c r="C60" s="4" t="s">
        <v>91</v>
      </c>
      <c r="D60" s="15"/>
      <c r="E60" s="15"/>
      <c r="F60" s="15">
        <f>F59*0.085</f>
        <v>-3665.1264423076927</v>
      </c>
      <c r="G60" s="15">
        <f t="shared" ref="G60:AO60" si="192">G59*0.085</f>
        <v>-2932.1011538461544</v>
      </c>
      <c r="H60" s="15">
        <f t="shared" si="192"/>
        <v>-2932.1011538461544</v>
      </c>
      <c r="I60" s="15">
        <f t="shared" si="192"/>
        <v>-3665.1264423076927</v>
      </c>
      <c r="J60" s="15">
        <f t="shared" si="192"/>
        <v>-2932.1011538461544</v>
      </c>
      <c r="K60" s="15">
        <f t="shared" si="192"/>
        <v>-2932.1011538461544</v>
      </c>
      <c r="L60" s="15">
        <f t="shared" si="192"/>
        <v>-3665.1264423076927</v>
      </c>
      <c r="M60" s="15">
        <f t="shared" si="192"/>
        <v>-2932.1011538461544</v>
      </c>
      <c r="N60" s="15">
        <f t="shared" si="192"/>
        <v>-2932.1011538461544</v>
      </c>
      <c r="O60" s="15">
        <f t="shared" si="192"/>
        <v>-3665.1264423076927</v>
      </c>
      <c r="P60" s="15">
        <f t="shared" si="192"/>
        <v>-2932.1011538461544</v>
      </c>
      <c r="Q60" s="15">
        <f t="shared" si="192"/>
        <v>-2932.1011538461544</v>
      </c>
      <c r="R60" s="105">
        <f t="shared" si="192"/>
        <v>-3848.3827644230778</v>
      </c>
      <c r="S60" s="105">
        <f t="shared" si="192"/>
        <v>-3078.706211538462</v>
      </c>
      <c r="T60" s="105">
        <f t="shared" si="192"/>
        <v>-3078.706211538462</v>
      </c>
      <c r="U60" s="105">
        <f t="shared" si="192"/>
        <v>-3848.3827644230778</v>
      </c>
      <c r="V60" s="105">
        <f t="shared" si="192"/>
        <v>-3078.706211538462</v>
      </c>
      <c r="W60" s="105">
        <f t="shared" si="192"/>
        <v>-3078.706211538462</v>
      </c>
      <c r="X60" s="105">
        <f t="shared" si="192"/>
        <v>-3848.3827644230778</v>
      </c>
      <c r="Y60" s="105">
        <f t="shared" si="192"/>
        <v>-3078.706211538462</v>
      </c>
      <c r="Z60" s="105">
        <f t="shared" si="192"/>
        <v>-3078.706211538462</v>
      </c>
      <c r="AA60" s="105">
        <f t="shared" si="192"/>
        <v>-3848.3827644230778</v>
      </c>
      <c r="AB60" s="105">
        <f t="shared" si="192"/>
        <v>-3078.706211538462</v>
      </c>
      <c r="AC60" s="105">
        <f t="shared" si="192"/>
        <v>-3078.706211538462</v>
      </c>
      <c r="AD60" s="108">
        <f t="shared" si="192"/>
        <v>-4040.8019026442316</v>
      </c>
      <c r="AE60" s="108">
        <f t="shared" si="192"/>
        <v>-3232.6415221153852</v>
      </c>
      <c r="AF60" s="108">
        <f t="shared" si="192"/>
        <v>-3232.6415221153852</v>
      </c>
      <c r="AG60" s="108">
        <f t="shared" si="192"/>
        <v>-4040.8019026442316</v>
      </c>
      <c r="AH60" s="108">
        <f t="shared" si="192"/>
        <v>-3232.6415221153852</v>
      </c>
      <c r="AI60" s="108">
        <f t="shared" si="192"/>
        <v>-3232.6415221153852</v>
      </c>
      <c r="AJ60" s="108">
        <f t="shared" si="192"/>
        <v>-4040.8019026442316</v>
      </c>
      <c r="AK60" s="108">
        <f t="shared" si="192"/>
        <v>-3232.6415221153852</v>
      </c>
      <c r="AL60" s="108">
        <f t="shared" si="192"/>
        <v>-3232.6415221153852</v>
      </c>
      <c r="AM60" s="108">
        <f t="shared" si="192"/>
        <v>-4040.8019026442316</v>
      </c>
      <c r="AN60" s="108">
        <f t="shared" si="192"/>
        <v>-3232.6415221153852</v>
      </c>
      <c r="AO60" s="108">
        <f t="shared" si="192"/>
        <v>-3232.6415221153852</v>
      </c>
      <c r="AS60" s="1">
        <f>SUM(AD60:AO60)</f>
        <v>-42024.339787500008</v>
      </c>
    </row>
    <row r="61" spans="1:47" x14ac:dyDescent="0.3">
      <c r="A61" s="16"/>
      <c r="B61" s="16"/>
      <c r="C61" s="4" t="s">
        <v>90</v>
      </c>
      <c r="D61" s="15"/>
      <c r="E61" s="15"/>
      <c r="F61" s="15">
        <f>F59*0.115</f>
        <v>-4958.700480769231</v>
      </c>
      <c r="G61" s="15">
        <f t="shared" ref="G61:AO61" si="193">G59*0.115</f>
        <v>-3966.960384615385</v>
      </c>
      <c r="H61" s="15">
        <f t="shared" si="193"/>
        <v>-3966.960384615385</v>
      </c>
      <c r="I61" s="15">
        <f t="shared" si="193"/>
        <v>-4958.700480769231</v>
      </c>
      <c r="J61" s="15">
        <f t="shared" si="193"/>
        <v>-3966.960384615385</v>
      </c>
      <c r="K61" s="15">
        <f>K59*0.115-7500</f>
        <v>-11466.960384615384</v>
      </c>
      <c r="L61" s="15">
        <f t="shared" si="193"/>
        <v>-4958.700480769231</v>
      </c>
      <c r="M61" s="15">
        <f t="shared" si="193"/>
        <v>-3966.960384615385</v>
      </c>
      <c r="N61" s="15">
        <f t="shared" si="193"/>
        <v>-3966.960384615385</v>
      </c>
      <c r="O61" s="15">
        <f t="shared" si="193"/>
        <v>-4958.700480769231</v>
      </c>
      <c r="P61" s="15">
        <f t="shared" si="193"/>
        <v>-3966.960384615385</v>
      </c>
      <c r="Q61" s="15">
        <f t="shared" si="193"/>
        <v>-3966.960384615385</v>
      </c>
      <c r="R61" s="105">
        <f t="shared" si="193"/>
        <v>-5206.635504807693</v>
      </c>
      <c r="S61" s="105">
        <f t="shared" si="193"/>
        <v>-4165.3084038461548</v>
      </c>
      <c r="T61" s="105">
        <f t="shared" si="193"/>
        <v>-4165.3084038461548</v>
      </c>
      <c r="U61" s="105">
        <f t="shared" si="193"/>
        <v>-5206.635504807693</v>
      </c>
      <c r="V61" s="105">
        <f t="shared" si="193"/>
        <v>-4165.3084038461548</v>
      </c>
      <c r="W61" s="105">
        <f>W59*0.115-15000</f>
        <v>-19165.308403846153</v>
      </c>
      <c r="X61" s="105">
        <f t="shared" si="193"/>
        <v>-5206.635504807693</v>
      </c>
      <c r="Y61" s="105">
        <f t="shared" si="193"/>
        <v>-4165.3084038461548</v>
      </c>
      <c r="Z61" s="105">
        <f t="shared" si="193"/>
        <v>-4165.3084038461548</v>
      </c>
      <c r="AA61" s="105">
        <f t="shared" si="193"/>
        <v>-5206.635504807693</v>
      </c>
      <c r="AB61" s="105">
        <f t="shared" si="193"/>
        <v>-4165.3084038461548</v>
      </c>
      <c r="AC61" s="105">
        <f t="shared" si="193"/>
        <v>-4165.3084038461548</v>
      </c>
      <c r="AD61" s="108">
        <f t="shared" si="193"/>
        <v>-5466.9672800480785</v>
      </c>
      <c r="AE61" s="108">
        <f t="shared" si="193"/>
        <v>-4373.5738240384626</v>
      </c>
      <c r="AF61" s="108">
        <f t="shared" si="193"/>
        <v>-4373.5738240384626</v>
      </c>
      <c r="AG61" s="108">
        <f t="shared" si="193"/>
        <v>-5466.9672800480785</v>
      </c>
      <c r="AH61" s="108">
        <f t="shared" si="193"/>
        <v>-4373.5738240384626</v>
      </c>
      <c r="AI61" s="108">
        <f>AI59*0.115-7500</f>
        <v>-11873.573824038463</v>
      </c>
      <c r="AJ61" s="108">
        <f t="shared" si="193"/>
        <v>-5466.9672800480785</v>
      </c>
      <c r="AK61" s="108">
        <f t="shared" si="193"/>
        <v>-4373.5738240384626</v>
      </c>
      <c r="AL61" s="108">
        <f t="shared" si="193"/>
        <v>-4373.5738240384626</v>
      </c>
      <c r="AM61" s="108">
        <f t="shared" si="193"/>
        <v>-5466.9672800480785</v>
      </c>
      <c r="AN61" s="108">
        <f t="shared" si="193"/>
        <v>-4373.5738240384626</v>
      </c>
      <c r="AO61" s="108">
        <f t="shared" si="193"/>
        <v>-4373.5738240384626</v>
      </c>
      <c r="AS61" s="1">
        <f>SUM(AD61:AO61)</f>
        <v>-64356.4597125</v>
      </c>
    </row>
    <row r="62" spans="1:47" x14ac:dyDescent="0.3">
      <c r="A62" s="16"/>
      <c r="B62" s="16"/>
      <c r="C62" s="4" t="s">
        <v>92</v>
      </c>
      <c r="D62" s="15"/>
      <c r="E62" s="15"/>
      <c r="F62" s="15">
        <f>-1200</f>
        <v>-1200</v>
      </c>
      <c r="G62" s="15">
        <f t="shared" ref="G62:Q62" si="194">-1200</f>
        <v>-1200</v>
      </c>
      <c r="H62" s="15">
        <f t="shared" si="194"/>
        <v>-1200</v>
      </c>
      <c r="I62" s="15">
        <f t="shared" si="194"/>
        <v>-1200</v>
      </c>
      <c r="J62" s="15">
        <f t="shared" si="194"/>
        <v>-1200</v>
      </c>
      <c r="K62" s="15">
        <f t="shared" si="194"/>
        <v>-1200</v>
      </c>
      <c r="L62" s="15">
        <f t="shared" si="194"/>
        <v>-1200</v>
      </c>
      <c r="M62" s="15">
        <f t="shared" si="194"/>
        <v>-1200</v>
      </c>
      <c r="N62" s="15">
        <f t="shared" si="194"/>
        <v>-1200</v>
      </c>
      <c r="O62" s="15">
        <f t="shared" si="194"/>
        <v>-1200</v>
      </c>
      <c r="P62" s="15">
        <f t="shared" si="194"/>
        <v>-1200</v>
      </c>
      <c r="Q62" s="15">
        <f t="shared" si="194"/>
        <v>-1200</v>
      </c>
      <c r="R62" s="105">
        <f>-1200*1.05</f>
        <v>-1260</v>
      </c>
      <c r="S62" s="105">
        <f t="shared" ref="S62:AC62" si="195">-1200*1.05</f>
        <v>-1260</v>
      </c>
      <c r="T62" s="105">
        <f t="shared" si="195"/>
        <v>-1260</v>
      </c>
      <c r="U62" s="105">
        <f t="shared" si="195"/>
        <v>-1260</v>
      </c>
      <c r="V62" s="105">
        <f t="shared" si="195"/>
        <v>-1260</v>
      </c>
      <c r="W62" s="105">
        <f t="shared" si="195"/>
        <v>-1260</v>
      </c>
      <c r="X62" s="105">
        <f t="shared" si="195"/>
        <v>-1260</v>
      </c>
      <c r="Y62" s="105">
        <f t="shared" si="195"/>
        <v>-1260</v>
      </c>
      <c r="Z62" s="105">
        <f t="shared" si="195"/>
        <v>-1260</v>
      </c>
      <c r="AA62" s="105">
        <f t="shared" si="195"/>
        <v>-1260</v>
      </c>
      <c r="AB62" s="105">
        <f t="shared" si="195"/>
        <v>-1260</v>
      </c>
      <c r="AC62" s="105">
        <f t="shared" si="195"/>
        <v>-1260</v>
      </c>
      <c r="AD62" s="108">
        <f>-1260*1.05</f>
        <v>-1323</v>
      </c>
      <c r="AE62" s="108">
        <f t="shared" ref="AE62:AO62" si="196">-1260*1.05</f>
        <v>-1323</v>
      </c>
      <c r="AF62" s="108">
        <f t="shared" si="196"/>
        <v>-1323</v>
      </c>
      <c r="AG62" s="108">
        <f t="shared" si="196"/>
        <v>-1323</v>
      </c>
      <c r="AH62" s="108">
        <f t="shared" si="196"/>
        <v>-1323</v>
      </c>
      <c r="AI62" s="108">
        <f t="shared" si="196"/>
        <v>-1323</v>
      </c>
      <c r="AJ62" s="108">
        <f t="shared" si="196"/>
        <v>-1323</v>
      </c>
      <c r="AK62" s="108">
        <f t="shared" si="196"/>
        <v>-1323</v>
      </c>
      <c r="AL62" s="108">
        <f t="shared" si="196"/>
        <v>-1323</v>
      </c>
      <c r="AM62" s="108">
        <f t="shared" si="196"/>
        <v>-1323</v>
      </c>
      <c r="AN62" s="108">
        <f t="shared" si="196"/>
        <v>-1323</v>
      </c>
      <c r="AO62" s="108">
        <f t="shared" si="196"/>
        <v>-1323</v>
      </c>
      <c r="AP62" s="4" t="s">
        <v>114</v>
      </c>
      <c r="AS62" s="1">
        <f>SUM(AD62:AO62)</f>
        <v>-15876</v>
      </c>
    </row>
    <row r="63" spans="1:47" x14ac:dyDescent="0.3">
      <c r="C63" s="15" t="s">
        <v>47</v>
      </c>
      <c r="D63" s="15">
        <v>-5800</v>
      </c>
      <c r="E63" s="15">
        <f>$D$63*3</f>
        <v>-17400</v>
      </c>
      <c r="F63" s="15">
        <v>-3500</v>
      </c>
      <c r="G63" s="15">
        <v>0</v>
      </c>
      <c r="H63" s="15">
        <v>-5500</v>
      </c>
      <c r="I63" s="15">
        <v>-5500</v>
      </c>
      <c r="J63" s="15">
        <v>-7500</v>
      </c>
      <c r="K63" s="15">
        <v>-7500</v>
      </c>
      <c r="L63" s="15">
        <v>-7500</v>
      </c>
      <c r="M63" s="15">
        <v>-7500</v>
      </c>
      <c r="N63" s="15">
        <v>-7500</v>
      </c>
      <c r="O63" s="15">
        <v>-7500</v>
      </c>
      <c r="P63" s="15">
        <v>-7500</v>
      </c>
      <c r="Q63" s="15">
        <v>-7500</v>
      </c>
      <c r="R63" s="95">
        <f>-7500</f>
        <v>-7500</v>
      </c>
      <c r="S63" s="95">
        <f t="shared" ref="S63:AO63" si="197">-7500</f>
        <v>-7500</v>
      </c>
      <c r="T63" s="95">
        <f t="shared" si="197"/>
        <v>-7500</v>
      </c>
      <c r="U63" s="95">
        <f t="shared" si="197"/>
        <v>-7500</v>
      </c>
      <c r="V63" s="95">
        <f t="shared" si="197"/>
        <v>-7500</v>
      </c>
      <c r="W63" s="95">
        <f t="shared" si="197"/>
        <v>-7500</v>
      </c>
      <c r="X63" s="95">
        <f t="shared" si="197"/>
        <v>-7500</v>
      </c>
      <c r="Y63" s="95">
        <f t="shared" si="197"/>
        <v>-7500</v>
      </c>
      <c r="Z63" s="95">
        <f t="shared" si="197"/>
        <v>-7500</v>
      </c>
      <c r="AA63" s="95">
        <f t="shared" si="197"/>
        <v>-7500</v>
      </c>
      <c r="AB63" s="95">
        <f t="shared" si="197"/>
        <v>-7500</v>
      </c>
      <c r="AC63" s="95">
        <f t="shared" si="197"/>
        <v>-7500</v>
      </c>
      <c r="AD63" s="107">
        <f t="shared" si="197"/>
        <v>-7500</v>
      </c>
      <c r="AE63" s="107">
        <f t="shared" si="197"/>
        <v>-7500</v>
      </c>
      <c r="AF63" s="107">
        <f t="shared" si="197"/>
        <v>-7500</v>
      </c>
      <c r="AG63" s="107">
        <f t="shared" si="197"/>
        <v>-7500</v>
      </c>
      <c r="AH63" s="107">
        <f t="shared" si="197"/>
        <v>-7500</v>
      </c>
      <c r="AI63" s="107">
        <f t="shared" si="197"/>
        <v>-7500</v>
      </c>
      <c r="AJ63" s="107">
        <f t="shared" si="197"/>
        <v>-7500</v>
      </c>
      <c r="AK63" s="107">
        <f t="shared" si="197"/>
        <v>-7500</v>
      </c>
      <c r="AL63" s="107">
        <f t="shared" si="197"/>
        <v>-7500</v>
      </c>
      <c r="AM63" s="107">
        <f t="shared" si="197"/>
        <v>-7500</v>
      </c>
      <c r="AN63" s="107">
        <f t="shared" si="197"/>
        <v>-7500</v>
      </c>
      <c r="AO63" s="107">
        <f t="shared" si="197"/>
        <v>-7500</v>
      </c>
      <c r="AP63" s="4" t="s">
        <v>115</v>
      </c>
    </row>
    <row r="64" spans="1:47" x14ac:dyDescent="0.3">
      <c r="A64" s="27" t="s">
        <v>31</v>
      </c>
      <c r="B64" s="27"/>
      <c r="C64" s="27"/>
      <c r="D64" s="11">
        <f t="shared" ref="D64:R64" si="198">SUM(D57:D63)</f>
        <v>-325418.30769230769</v>
      </c>
      <c r="E64" s="11">
        <f t="shared" si="198"/>
        <v>-349795.30769230769</v>
      </c>
      <c r="F64" s="11">
        <f t="shared" si="198"/>
        <v>-289079.9615384615</v>
      </c>
      <c r="G64" s="11">
        <f t="shared" si="198"/>
        <v>-275231.36923076923</v>
      </c>
      <c r="H64" s="11">
        <f t="shared" si="198"/>
        <v>-234556.36923076923</v>
      </c>
      <c r="I64" s="11">
        <f t="shared" si="198"/>
        <v>-234904.96153846156</v>
      </c>
      <c r="J64" s="11">
        <f t="shared" si="198"/>
        <v>-248556.36923076923</v>
      </c>
      <c r="K64" s="11">
        <f t="shared" si="198"/>
        <v>-231056.36923076923</v>
      </c>
      <c r="L64" s="11">
        <f t="shared" si="198"/>
        <v>-233904.96153846156</v>
      </c>
      <c r="M64" s="11">
        <f t="shared" si="198"/>
        <v>-243556.36923076923</v>
      </c>
      <c r="N64" s="11">
        <f t="shared" si="198"/>
        <v>-243556.36923076923</v>
      </c>
      <c r="O64" s="11">
        <f t="shared" si="198"/>
        <v>-253904.96153846156</v>
      </c>
      <c r="P64" s="11">
        <f t="shared" si="198"/>
        <v>-243556.36923076923</v>
      </c>
      <c r="Q64" s="11">
        <f t="shared" si="198"/>
        <v>-243556.36923076923</v>
      </c>
      <c r="R64" s="135">
        <f t="shared" si="198"/>
        <v>-256552.10961538463</v>
      </c>
      <c r="S64" s="135">
        <f t="shared" ref="S64" si="199">SUM(S57:S63)</f>
        <v>-245686.08769230772</v>
      </c>
      <c r="T64" s="135">
        <f t="shared" ref="T64" si="200">SUM(T57:T63)</f>
        <v>-245686.08769230772</v>
      </c>
      <c r="U64" s="135">
        <f t="shared" ref="U64" si="201">SUM(U57:U63)</f>
        <v>-256552.10961538463</v>
      </c>
      <c r="V64" s="135">
        <f t="shared" ref="V64" si="202">SUM(V57:V63)</f>
        <v>-245686.08769230772</v>
      </c>
      <c r="W64" s="135">
        <f t="shared" ref="W64" si="203">SUM(W57:W63)</f>
        <v>-260686.08769230772</v>
      </c>
      <c r="X64" s="135">
        <f t="shared" ref="X64" si="204">SUM(X57:X63)</f>
        <v>-256552.10961538463</v>
      </c>
      <c r="Y64" s="135">
        <f t="shared" ref="Y64" si="205">SUM(Y57:Y63)</f>
        <v>-245686.08769230772</v>
      </c>
      <c r="Z64" s="135">
        <f t="shared" ref="Z64" si="206">SUM(Z57:Z63)</f>
        <v>-245686.08769230772</v>
      </c>
      <c r="AA64" s="135">
        <f t="shared" ref="AA64" si="207">SUM(AA57:AA63)</f>
        <v>-256552.10961538463</v>
      </c>
      <c r="AB64" s="135">
        <f t="shared" ref="AB64" si="208">SUM(AB57:AB63)</f>
        <v>-245686.08769230772</v>
      </c>
      <c r="AC64" s="135">
        <f t="shared" ref="AC64" si="209">SUM(AC57:AC63)</f>
        <v>-245686.08769230772</v>
      </c>
      <c r="AD64" s="135">
        <f t="shared" ref="AD64" si="210">SUM(AD57:AD63)</f>
        <v>-259331.61509615387</v>
      </c>
      <c r="AE64" s="135">
        <f t="shared" ref="AE64" si="211">SUM(AE57:AE63)</f>
        <v>-247922.2920769231</v>
      </c>
      <c r="AF64" s="135">
        <f t="shared" ref="AF64" si="212">SUM(AF57:AF63)</f>
        <v>-247922.2920769231</v>
      </c>
      <c r="AG64" s="135">
        <f t="shared" ref="AG64" si="213">SUM(AG57:AG63)</f>
        <v>-259331.61509615387</v>
      </c>
      <c r="AH64" s="135">
        <f t="shared" ref="AH64" si="214">SUM(AH57:AH63)</f>
        <v>-247922.2920769231</v>
      </c>
      <c r="AI64" s="135">
        <f t="shared" ref="AI64" si="215">SUM(AI57:AI63)</f>
        <v>-255422.2920769231</v>
      </c>
      <c r="AJ64" s="135">
        <f t="shared" ref="AJ64" si="216">SUM(AJ57:AJ63)</f>
        <v>-259331.61509615387</v>
      </c>
      <c r="AK64" s="135">
        <f t="shared" ref="AK64" si="217">SUM(AK57:AK63)</f>
        <v>-247922.2920769231</v>
      </c>
      <c r="AL64" s="135">
        <f t="shared" ref="AL64" si="218">SUM(AL57:AL63)</f>
        <v>-247922.2920769231</v>
      </c>
      <c r="AM64" s="135">
        <f t="shared" ref="AM64" si="219">SUM(AM57:AM63)</f>
        <v>-259331.61509615387</v>
      </c>
      <c r="AN64" s="135">
        <f t="shared" ref="AN64" si="220">SUM(AN57:AN63)</f>
        <v>-247922.2920769231</v>
      </c>
      <c r="AO64" s="135">
        <f t="shared" ref="AO64" si="221">SUM(AO57:AO63)</f>
        <v>-247922.2920769231</v>
      </c>
    </row>
    <row r="65" spans="1:42" x14ac:dyDescent="0.3">
      <c r="A65" s="40"/>
      <c r="B65" s="40"/>
      <c r="C65" s="41"/>
      <c r="R65" s="95">
        <f t="shared" si="141"/>
        <v>0</v>
      </c>
      <c r="S65" s="95">
        <f t="shared" si="142"/>
        <v>0</v>
      </c>
      <c r="T65" s="95">
        <f t="shared" si="143"/>
        <v>0</v>
      </c>
      <c r="U65" s="95">
        <f t="shared" si="144"/>
        <v>0</v>
      </c>
      <c r="V65" s="95">
        <f t="shared" si="145"/>
        <v>0</v>
      </c>
      <c r="W65" s="95">
        <f t="shared" si="146"/>
        <v>0</v>
      </c>
      <c r="X65" s="95">
        <f t="shared" si="162"/>
        <v>0</v>
      </c>
      <c r="Y65" s="95">
        <f t="shared" si="147"/>
        <v>0</v>
      </c>
      <c r="Z65" s="95">
        <f t="shared" si="148"/>
        <v>0</v>
      </c>
      <c r="AA65" s="95">
        <f t="shared" si="149"/>
        <v>0</v>
      </c>
      <c r="AB65" s="95">
        <f t="shared" si="150"/>
        <v>0</v>
      </c>
      <c r="AC65" s="95">
        <f t="shared" si="151"/>
        <v>0</v>
      </c>
      <c r="AD65" s="107">
        <f t="shared" si="137"/>
        <v>0</v>
      </c>
      <c r="AE65" s="107">
        <f t="shared" si="163"/>
        <v>0</v>
      </c>
      <c r="AF65" s="107">
        <f t="shared" si="152"/>
        <v>0</v>
      </c>
      <c r="AG65" s="107">
        <f t="shared" si="153"/>
        <v>0</v>
      </c>
      <c r="AH65" s="107">
        <f t="shared" si="154"/>
        <v>0</v>
      </c>
      <c r="AI65" s="107">
        <f t="shared" si="155"/>
        <v>0</v>
      </c>
      <c r="AJ65" s="107">
        <f t="shared" si="156"/>
        <v>0</v>
      </c>
      <c r="AK65" s="107">
        <f t="shared" si="157"/>
        <v>0</v>
      </c>
      <c r="AL65" s="107">
        <f t="shared" si="158"/>
        <v>0</v>
      </c>
      <c r="AM65" s="107">
        <f t="shared" si="159"/>
        <v>0</v>
      </c>
      <c r="AN65" s="107">
        <f t="shared" si="160"/>
        <v>0</v>
      </c>
      <c r="AO65" s="107">
        <f t="shared" si="161"/>
        <v>0</v>
      </c>
    </row>
    <row r="66" spans="1:42" x14ac:dyDescent="0.3">
      <c r="A66" s="40"/>
      <c r="B66" s="40"/>
      <c r="C66" s="30" t="s">
        <v>49</v>
      </c>
      <c r="D66" s="4">
        <f t="shared" ref="D66:AO66" si="222">D56+D64</f>
        <v>-325418.30769230769</v>
      </c>
      <c r="E66" s="4">
        <f t="shared" si="222"/>
        <v>-237795.30769230769</v>
      </c>
      <c r="F66" s="4">
        <f>F56+F64</f>
        <v>-185079.9615384615</v>
      </c>
      <c r="G66" s="4">
        <f t="shared" si="222"/>
        <v>-236231.36923076923</v>
      </c>
      <c r="H66" s="4">
        <f t="shared" si="222"/>
        <v>-125056.36923076923</v>
      </c>
      <c r="I66" s="4">
        <f t="shared" si="222"/>
        <v>-158946.63153846154</v>
      </c>
      <c r="J66" s="4">
        <f t="shared" si="222"/>
        <v>-78798.039230769209</v>
      </c>
      <c r="K66" s="4">
        <f t="shared" si="222"/>
        <v>-18348.039230769209</v>
      </c>
      <c r="L66" s="4">
        <f t="shared" si="222"/>
        <v>109053.36846153846</v>
      </c>
      <c r="M66" s="4">
        <f t="shared" si="222"/>
        <v>-59868.039230769209</v>
      </c>
      <c r="N66" s="4">
        <f t="shared" si="222"/>
        <v>219746.96076923079</v>
      </c>
      <c r="O66" s="4">
        <f t="shared" si="222"/>
        <v>-124296.63153846156</v>
      </c>
      <c r="P66" s="4">
        <f t="shared" si="222"/>
        <v>-55898.039230769209</v>
      </c>
      <c r="Q66" s="4">
        <f t="shared" si="222"/>
        <v>86201.960769230791</v>
      </c>
      <c r="R66" s="106">
        <f t="shared" si="222"/>
        <v>-207493.77961538464</v>
      </c>
      <c r="S66" s="106">
        <f t="shared" si="222"/>
        <v>-22627.757692307699</v>
      </c>
      <c r="T66" s="106">
        <f t="shared" si="222"/>
        <v>-178627.7576923077</v>
      </c>
      <c r="U66" s="106">
        <f t="shared" si="222"/>
        <v>-12472.944615384622</v>
      </c>
      <c r="V66" s="106">
        <f t="shared" si="222"/>
        <v>-218606.92269230771</v>
      </c>
      <c r="W66" s="106">
        <f t="shared" si="222"/>
        <v>-49606.922692307708</v>
      </c>
      <c r="X66" s="106">
        <f t="shared" si="222"/>
        <v>-9472.944615384622</v>
      </c>
      <c r="Y66" s="106">
        <f t="shared" si="222"/>
        <v>-46606.922692307708</v>
      </c>
      <c r="Z66" s="106">
        <f t="shared" si="222"/>
        <v>-165606.92269230771</v>
      </c>
      <c r="AA66" s="106">
        <f t="shared" si="222"/>
        <v>-67472.944615384622</v>
      </c>
      <c r="AB66" s="106">
        <f t="shared" si="222"/>
        <v>-20106.922692307708</v>
      </c>
      <c r="AC66" s="106">
        <f t="shared" si="222"/>
        <v>33393.077307692263</v>
      </c>
      <c r="AD66" s="106">
        <f t="shared" si="222"/>
        <v>-242252.45009615386</v>
      </c>
      <c r="AE66" s="106">
        <f t="shared" si="222"/>
        <v>-116843.12707692312</v>
      </c>
      <c r="AF66" s="106">
        <f t="shared" si="222"/>
        <v>-212843.12707692309</v>
      </c>
      <c r="AG66" s="106">
        <f t="shared" si="222"/>
        <v>-46828.782096153882</v>
      </c>
      <c r="AH66" s="106">
        <f t="shared" si="222"/>
        <v>-222426.45907692309</v>
      </c>
      <c r="AI66" s="106">
        <f t="shared" si="222"/>
        <v>-45918.459076923114</v>
      </c>
      <c r="AJ66" s="106">
        <f t="shared" si="222"/>
        <v>-13835.782096153882</v>
      </c>
      <c r="AK66" s="106">
        <f t="shared" si="222"/>
        <v>-50417.459076923114</v>
      </c>
      <c r="AL66" s="106">
        <f t="shared" si="222"/>
        <v>-197426.45907692309</v>
      </c>
      <c r="AM66" s="106">
        <f t="shared" si="222"/>
        <v>-71825.782096153882</v>
      </c>
      <c r="AN66" s="106">
        <f t="shared" si="222"/>
        <v>-23926.459076923114</v>
      </c>
      <c r="AO66" s="106">
        <f t="shared" si="222"/>
        <v>29584.540923076886</v>
      </c>
      <c r="AP66" s="4">
        <f>SUM(F66:AO66)</f>
        <v>-2807790.3000000017</v>
      </c>
    </row>
    <row r="67" spans="1:42" x14ac:dyDescent="0.3">
      <c r="A67" s="27"/>
      <c r="B67" s="27"/>
      <c r="C67" s="2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95">
        <f t="shared" si="141"/>
        <v>0</v>
      </c>
      <c r="S67" s="95">
        <f t="shared" si="142"/>
        <v>0</v>
      </c>
      <c r="T67" s="95">
        <f t="shared" si="143"/>
        <v>0</v>
      </c>
      <c r="U67" s="95">
        <f t="shared" si="144"/>
        <v>0</v>
      </c>
      <c r="V67" s="95">
        <f t="shared" si="145"/>
        <v>0</v>
      </c>
      <c r="W67" s="95">
        <f t="shared" si="146"/>
        <v>0</v>
      </c>
      <c r="X67" s="95">
        <f t="shared" si="162"/>
        <v>0</v>
      </c>
      <c r="Y67" s="95">
        <f t="shared" si="147"/>
        <v>0</v>
      </c>
      <c r="Z67" s="95">
        <f t="shared" si="148"/>
        <v>0</v>
      </c>
      <c r="AA67" s="95">
        <f t="shared" si="149"/>
        <v>0</v>
      </c>
      <c r="AB67" s="95">
        <f t="shared" si="150"/>
        <v>0</v>
      </c>
      <c r="AC67" s="95">
        <f t="shared" si="151"/>
        <v>0</v>
      </c>
      <c r="AD67" s="107">
        <f t="shared" si="137"/>
        <v>0</v>
      </c>
      <c r="AE67" s="107">
        <f t="shared" si="163"/>
        <v>0</v>
      </c>
      <c r="AF67" s="107">
        <f t="shared" si="152"/>
        <v>0</v>
      </c>
      <c r="AG67" s="107">
        <f t="shared" si="153"/>
        <v>0</v>
      </c>
      <c r="AH67" s="107">
        <f t="shared" si="154"/>
        <v>0</v>
      </c>
      <c r="AI67" s="107">
        <f t="shared" si="155"/>
        <v>0</v>
      </c>
      <c r="AJ67" s="107">
        <f t="shared" si="156"/>
        <v>0</v>
      </c>
      <c r="AK67" s="107">
        <f t="shared" si="157"/>
        <v>0</v>
      </c>
      <c r="AL67" s="107">
        <f t="shared" si="158"/>
        <v>0</v>
      </c>
      <c r="AM67" s="107">
        <f t="shared" si="159"/>
        <v>0</v>
      </c>
      <c r="AN67" s="107">
        <f t="shared" si="160"/>
        <v>0</v>
      </c>
      <c r="AO67" s="107">
        <f t="shared" si="161"/>
        <v>0</v>
      </c>
    </row>
    <row r="68" spans="1:42" x14ac:dyDescent="0.3">
      <c r="A68" s="16"/>
      <c r="B68" s="16"/>
      <c r="C68" s="30" t="s">
        <v>84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95">
        <f t="shared" si="141"/>
        <v>0</v>
      </c>
      <c r="S68" s="95">
        <f t="shared" si="142"/>
        <v>0</v>
      </c>
      <c r="T68" s="95">
        <f t="shared" si="143"/>
        <v>0</v>
      </c>
      <c r="U68" s="95">
        <f t="shared" si="144"/>
        <v>0</v>
      </c>
      <c r="V68" s="95">
        <f t="shared" si="145"/>
        <v>0</v>
      </c>
      <c r="W68" s="95">
        <f t="shared" si="146"/>
        <v>0</v>
      </c>
      <c r="X68" s="95">
        <f t="shared" si="162"/>
        <v>0</v>
      </c>
      <c r="Y68" s="95">
        <f t="shared" si="147"/>
        <v>0</v>
      </c>
      <c r="Z68" s="95">
        <v>0</v>
      </c>
      <c r="AA68" s="95">
        <f t="shared" si="149"/>
        <v>0</v>
      </c>
      <c r="AB68" s="95">
        <f t="shared" si="150"/>
        <v>0</v>
      </c>
      <c r="AC68" s="95">
        <f t="shared" si="151"/>
        <v>0</v>
      </c>
      <c r="AD68" s="107">
        <f t="shared" si="137"/>
        <v>0</v>
      </c>
      <c r="AE68" s="107">
        <f t="shared" si="163"/>
        <v>0</v>
      </c>
      <c r="AF68" s="107">
        <f t="shared" si="152"/>
        <v>0</v>
      </c>
      <c r="AG68" s="107">
        <f t="shared" si="153"/>
        <v>0</v>
      </c>
      <c r="AH68" s="107">
        <f t="shared" si="154"/>
        <v>0</v>
      </c>
      <c r="AI68" s="107">
        <f t="shared" si="155"/>
        <v>0</v>
      </c>
      <c r="AJ68" s="107">
        <f t="shared" si="156"/>
        <v>0</v>
      </c>
      <c r="AK68" s="107">
        <f t="shared" si="157"/>
        <v>0</v>
      </c>
      <c r="AL68" s="107">
        <f t="shared" si="158"/>
        <v>0</v>
      </c>
      <c r="AM68" s="107">
        <f t="shared" si="159"/>
        <v>0</v>
      </c>
      <c r="AN68" s="107">
        <f t="shared" si="160"/>
        <v>0</v>
      </c>
      <c r="AO68" s="107">
        <f t="shared" si="161"/>
        <v>0</v>
      </c>
    </row>
    <row r="69" spans="1:42" s="26" customFormat="1" x14ac:dyDescent="0.3">
      <c r="A69" s="102"/>
      <c r="B69" s="102"/>
      <c r="C69" s="103" t="s">
        <v>95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420000</v>
      </c>
      <c r="K69" s="15">
        <v>0</v>
      </c>
      <c r="L69" s="15">
        <v>0</v>
      </c>
      <c r="M69" s="15">
        <v>0</v>
      </c>
      <c r="N69" s="15">
        <v>420000</v>
      </c>
      <c r="O69" s="15">
        <v>0</v>
      </c>
      <c r="P69" s="15">
        <v>0</v>
      </c>
      <c r="Q69" s="15">
        <v>0</v>
      </c>
      <c r="R69" s="95">
        <f t="shared" si="141"/>
        <v>0</v>
      </c>
      <c r="S69" s="95">
        <f t="shared" si="142"/>
        <v>0</v>
      </c>
      <c r="T69" s="95">
        <f t="shared" si="143"/>
        <v>0</v>
      </c>
      <c r="U69" s="95">
        <v>0</v>
      </c>
      <c r="V69" s="95">
        <v>0</v>
      </c>
      <c r="W69" s="95">
        <v>0</v>
      </c>
      <c r="X69" s="95">
        <f t="shared" si="162"/>
        <v>0</v>
      </c>
      <c r="Y69" s="95">
        <v>0</v>
      </c>
      <c r="Z69" s="95">
        <v>0</v>
      </c>
      <c r="AA69" s="95">
        <f t="shared" si="149"/>
        <v>0</v>
      </c>
      <c r="AB69" s="95">
        <f t="shared" si="150"/>
        <v>0</v>
      </c>
      <c r="AC69" s="95">
        <v>0</v>
      </c>
      <c r="AD69" s="107">
        <f t="shared" si="137"/>
        <v>0</v>
      </c>
      <c r="AE69" s="107">
        <f t="shared" si="163"/>
        <v>0</v>
      </c>
      <c r="AF69" s="107">
        <f t="shared" si="152"/>
        <v>0</v>
      </c>
      <c r="AG69" s="107">
        <f t="shared" si="153"/>
        <v>0</v>
      </c>
      <c r="AH69" s="107">
        <v>0</v>
      </c>
      <c r="AI69" s="107">
        <v>0</v>
      </c>
      <c r="AJ69" s="107">
        <f t="shared" si="156"/>
        <v>0</v>
      </c>
      <c r="AK69" s="107">
        <f t="shared" si="157"/>
        <v>0</v>
      </c>
      <c r="AL69" s="107">
        <v>0</v>
      </c>
      <c r="AM69" s="107">
        <f t="shared" si="159"/>
        <v>0</v>
      </c>
      <c r="AN69" s="107">
        <f t="shared" si="160"/>
        <v>0</v>
      </c>
      <c r="AO69" s="107">
        <v>0</v>
      </c>
      <c r="AP69" s="15"/>
    </row>
    <row r="70" spans="1:42" ht="12.75" customHeight="1" x14ac:dyDescent="0.3">
      <c r="A70" s="42"/>
      <c r="B70" s="42"/>
      <c r="C70" s="23"/>
      <c r="R70" s="95">
        <f t="shared" si="141"/>
        <v>0</v>
      </c>
      <c r="S70" s="95">
        <f t="shared" si="142"/>
        <v>0</v>
      </c>
      <c r="T70" s="95">
        <f t="shared" si="143"/>
        <v>0</v>
      </c>
      <c r="U70" s="95">
        <f t="shared" si="144"/>
        <v>0</v>
      </c>
      <c r="V70" s="95">
        <f t="shared" si="145"/>
        <v>0</v>
      </c>
      <c r="W70" s="95">
        <f t="shared" si="146"/>
        <v>0</v>
      </c>
      <c r="X70" s="95">
        <f t="shared" si="162"/>
        <v>0</v>
      </c>
      <c r="Y70" s="95">
        <f t="shared" si="147"/>
        <v>0</v>
      </c>
      <c r="Z70" s="95">
        <f t="shared" si="148"/>
        <v>0</v>
      </c>
      <c r="AA70" s="95">
        <f t="shared" si="149"/>
        <v>0</v>
      </c>
      <c r="AB70" s="95">
        <f t="shared" si="150"/>
        <v>0</v>
      </c>
      <c r="AC70" s="95">
        <f t="shared" si="151"/>
        <v>0</v>
      </c>
      <c r="AD70" s="107">
        <f t="shared" si="137"/>
        <v>0</v>
      </c>
      <c r="AE70" s="107">
        <f t="shared" si="163"/>
        <v>0</v>
      </c>
      <c r="AF70" s="107">
        <f t="shared" si="152"/>
        <v>0</v>
      </c>
      <c r="AG70" s="107">
        <f t="shared" si="153"/>
        <v>0</v>
      </c>
      <c r="AH70" s="107">
        <f t="shared" si="154"/>
        <v>0</v>
      </c>
      <c r="AI70" s="107">
        <f t="shared" si="155"/>
        <v>0</v>
      </c>
      <c r="AJ70" s="107">
        <f t="shared" si="156"/>
        <v>0</v>
      </c>
      <c r="AK70" s="107">
        <f t="shared" si="157"/>
        <v>0</v>
      </c>
      <c r="AL70" s="107">
        <f t="shared" si="158"/>
        <v>0</v>
      </c>
      <c r="AM70" s="107">
        <f t="shared" si="159"/>
        <v>0</v>
      </c>
      <c r="AN70" s="107">
        <f t="shared" si="160"/>
        <v>0</v>
      </c>
      <c r="AO70" s="107">
        <f t="shared" si="161"/>
        <v>0</v>
      </c>
    </row>
    <row r="71" spans="1:42" ht="16.2" thickBot="1" x14ac:dyDescent="0.35">
      <c r="A71" s="42" t="s">
        <v>51</v>
      </c>
      <c r="B71" s="42"/>
      <c r="C71" s="42"/>
      <c r="D71" s="44">
        <f t="shared" ref="D71:Q71" si="223">+D68+D35+D56+D64+D69</f>
        <v>732153.93900456396</v>
      </c>
      <c r="E71" s="44">
        <f t="shared" si="223"/>
        <v>428314.19460293179</v>
      </c>
      <c r="F71" s="44">
        <f>+F68+F35+F56+F64+F69</f>
        <v>870971.40497226547</v>
      </c>
      <c r="G71" s="43">
        <f t="shared" si="223"/>
        <v>684727.98526883847</v>
      </c>
      <c r="H71" s="43">
        <f t="shared" si="223"/>
        <v>550379.39806541137</v>
      </c>
      <c r="I71" s="43">
        <f t="shared" si="223"/>
        <v>418698.76303767652</v>
      </c>
      <c r="J71" s="43">
        <f>+J68+J35+J56+J64+J69</f>
        <v>839323.67333424941</v>
      </c>
      <c r="K71" s="43">
        <f t="shared" si="223"/>
        <v>925731.11281266867</v>
      </c>
      <c r="L71" s="43">
        <f t="shared" si="223"/>
        <v>1013302.5505603186</v>
      </c>
      <c r="M71" s="43">
        <f t="shared" si="223"/>
        <v>990457.46085689159</v>
      </c>
      <c r="N71" s="43">
        <f t="shared" si="223"/>
        <v>1653592.2036534646</v>
      </c>
      <c r="O71" s="43">
        <f t="shared" si="223"/>
        <v>1538418.6519590633</v>
      </c>
      <c r="P71" s="43">
        <f t="shared" si="223"/>
        <v>1527877.7289223028</v>
      </c>
      <c r="Q71" s="43">
        <f t="shared" si="223"/>
        <v>1628298.7217188757</v>
      </c>
      <c r="R71" s="117">
        <f>+R68+R35+R56+R64+R69</f>
        <v>1410952.2879710407</v>
      </c>
      <c r="S71" s="117">
        <f t="shared" ref="S71:AC71" si="224">+S68+S35+S56+S64+S69</f>
        <v>1425083.6751517423</v>
      </c>
      <c r="T71" s="117">
        <f t="shared" si="224"/>
        <v>1221842.022494944</v>
      </c>
      <c r="U71" s="117">
        <f t="shared" si="224"/>
        <v>1222716.423747109</v>
      </c>
      <c r="V71" s="117">
        <f t="shared" si="224"/>
        <v>1070303.6459278106</v>
      </c>
      <c r="W71" s="117">
        <f t="shared" si="224"/>
        <v>1098230.936686601</v>
      </c>
      <c r="X71" s="117">
        <f t="shared" si="224"/>
        <v>1050104.9049660645</v>
      </c>
      <c r="Y71" s="117">
        <f t="shared" si="224"/>
        <v>1027292.1271467661</v>
      </c>
      <c r="Z71" s="117">
        <f t="shared" si="224"/>
        <v>869599.26988371764</v>
      </c>
      <c r="AA71" s="117">
        <f t="shared" si="224"/>
        <v>797330.75446921587</v>
      </c>
      <c r="AB71" s="117">
        <f t="shared" si="224"/>
        <v>809352.14331658417</v>
      </c>
      <c r="AC71" s="117">
        <f t="shared" si="224"/>
        <v>841490.53605353576</v>
      </c>
      <c r="AD71" s="118">
        <f t="shared" ref="AD71:AO71" si="225">+AD68+AD35+AD56+AD64+AD69</f>
        <v>574298.346509567</v>
      </c>
      <c r="AE71" s="118">
        <f t="shared" si="225"/>
        <v>479746.6829604524</v>
      </c>
      <c r="AF71" s="118">
        <f t="shared" si="225"/>
        <v>227356.73837871276</v>
      </c>
      <c r="AG71" s="118">
        <f t="shared" si="225"/>
        <v>178788.21683474391</v>
      </c>
      <c r="AH71" s="118">
        <f t="shared" si="225"/>
        <v>8088.2212856292899</v>
      </c>
      <c r="AI71" s="118">
        <f t="shared" si="225"/>
        <v>-6733.503628053877</v>
      </c>
      <c r="AJ71" s="118">
        <f t="shared" si="225"/>
        <v>-74309.471133905347</v>
      </c>
      <c r="AK71" s="118">
        <f t="shared" si="225"/>
        <v>-115400.46668301997</v>
      </c>
      <c r="AL71" s="118">
        <f t="shared" si="225"/>
        <v>-319850.34405919706</v>
      </c>
      <c r="AM71" s="118">
        <f t="shared" si="225"/>
        <v>-411558.78226983262</v>
      </c>
      <c r="AN71" s="118">
        <f t="shared" si="225"/>
        <v>-417824.61115228047</v>
      </c>
      <c r="AO71" s="118">
        <f t="shared" si="225"/>
        <v>-404432.23852845759</v>
      </c>
    </row>
    <row r="72" spans="1:42" ht="16.2" thickTop="1" x14ac:dyDescent="0.3">
      <c r="R72" s="95">
        <f t="shared" si="141"/>
        <v>0</v>
      </c>
      <c r="S72" s="95">
        <f t="shared" si="142"/>
        <v>0</v>
      </c>
      <c r="T72" s="95">
        <f t="shared" si="143"/>
        <v>0</v>
      </c>
      <c r="U72" s="95">
        <f t="shared" si="144"/>
        <v>0</v>
      </c>
      <c r="V72" s="95">
        <f t="shared" si="145"/>
        <v>0</v>
      </c>
      <c r="W72" s="95">
        <f t="shared" si="146"/>
        <v>0</v>
      </c>
      <c r="X72" s="95">
        <f t="shared" si="162"/>
        <v>0</v>
      </c>
      <c r="Y72" s="95">
        <f t="shared" si="147"/>
        <v>0</v>
      </c>
      <c r="Z72" s="95">
        <f t="shared" si="148"/>
        <v>0</v>
      </c>
      <c r="AA72" s="95">
        <f t="shared" si="149"/>
        <v>0</v>
      </c>
      <c r="AB72" s="95">
        <f t="shared" si="150"/>
        <v>0</v>
      </c>
      <c r="AC72" s="95">
        <f t="shared" si="151"/>
        <v>0</v>
      </c>
      <c r="AD72" s="107">
        <f t="shared" si="137"/>
        <v>0</v>
      </c>
      <c r="AE72" s="107">
        <f t="shared" si="163"/>
        <v>0</v>
      </c>
      <c r="AF72" s="107">
        <f t="shared" si="152"/>
        <v>0</v>
      </c>
      <c r="AG72" s="107">
        <f t="shared" si="153"/>
        <v>0</v>
      </c>
      <c r="AH72" s="107">
        <f t="shared" si="154"/>
        <v>0</v>
      </c>
      <c r="AI72" s="107">
        <f t="shared" si="155"/>
        <v>0</v>
      </c>
      <c r="AJ72" s="107">
        <f t="shared" si="156"/>
        <v>0</v>
      </c>
      <c r="AK72" s="107">
        <f t="shared" si="157"/>
        <v>0</v>
      </c>
      <c r="AL72" s="107">
        <f t="shared" si="158"/>
        <v>0</v>
      </c>
      <c r="AM72" s="107">
        <f t="shared" si="159"/>
        <v>0</v>
      </c>
      <c r="AN72" s="107">
        <f t="shared" si="160"/>
        <v>0</v>
      </c>
      <c r="AO72" s="107">
        <f t="shared" si="161"/>
        <v>0</v>
      </c>
    </row>
    <row r="73" spans="1:42" ht="16.2" thickBot="1" x14ac:dyDescent="0.35">
      <c r="A73" s="91" t="s">
        <v>82</v>
      </c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5">
        <f t="shared" si="141"/>
        <v>0</v>
      </c>
      <c r="S73" s="95">
        <f t="shared" si="142"/>
        <v>0</v>
      </c>
      <c r="T73" s="95">
        <f t="shared" si="143"/>
        <v>0</v>
      </c>
      <c r="U73" s="95">
        <f t="shared" si="144"/>
        <v>0</v>
      </c>
      <c r="V73" s="95">
        <f t="shared" si="145"/>
        <v>0</v>
      </c>
      <c r="W73" s="95">
        <f t="shared" si="146"/>
        <v>0</v>
      </c>
      <c r="X73" s="95">
        <f t="shared" si="162"/>
        <v>0</v>
      </c>
      <c r="Y73" s="95">
        <f t="shared" si="147"/>
        <v>0</v>
      </c>
      <c r="Z73" s="95">
        <f t="shared" si="148"/>
        <v>0</v>
      </c>
      <c r="AA73" s="95">
        <f t="shared" si="149"/>
        <v>0</v>
      </c>
      <c r="AB73" s="95">
        <f t="shared" si="150"/>
        <v>0</v>
      </c>
      <c r="AC73" s="95">
        <f t="shared" si="151"/>
        <v>0</v>
      </c>
      <c r="AD73" s="107">
        <f t="shared" si="137"/>
        <v>0</v>
      </c>
      <c r="AE73" s="107">
        <f t="shared" si="163"/>
        <v>0</v>
      </c>
      <c r="AF73" s="107">
        <f t="shared" si="152"/>
        <v>0</v>
      </c>
      <c r="AG73" s="107">
        <f t="shared" si="153"/>
        <v>0</v>
      </c>
      <c r="AH73" s="107">
        <f t="shared" si="154"/>
        <v>0</v>
      </c>
      <c r="AI73" s="107">
        <f t="shared" si="155"/>
        <v>0</v>
      </c>
      <c r="AJ73" s="107">
        <f t="shared" si="156"/>
        <v>0</v>
      </c>
      <c r="AK73" s="107">
        <f t="shared" si="157"/>
        <v>0</v>
      </c>
      <c r="AL73" s="107">
        <f t="shared" si="158"/>
        <v>0</v>
      </c>
      <c r="AM73" s="107">
        <f t="shared" si="159"/>
        <v>0</v>
      </c>
      <c r="AN73" s="107">
        <f t="shared" si="160"/>
        <v>0</v>
      </c>
      <c r="AO73" s="107">
        <f t="shared" si="161"/>
        <v>0</v>
      </c>
    </row>
    <row r="74" spans="1:42" ht="16.5" customHeight="1" x14ac:dyDescent="0.3">
      <c r="A74" s="23"/>
      <c r="B74" s="23"/>
      <c r="C74" s="54" t="s">
        <v>83</v>
      </c>
      <c r="D74" s="93">
        <f>D68</f>
        <v>0</v>
      </c>
      <c r="E74" s="93">
        <f t="shared" ref="E74:Q74" si="226">D74+E68</f>
        <v>0</v>
      </c>
      <c r="F74" s="93">
        <f>E74+F68</f>
        <v>0</v>
      </c>
      <c r="G74" s="93">
        <f t="shared" si="226"/>
        <v>0</v>
      </c>
      <c r="H74" s="93">
        <f t="shared" si="226"/>
        <v>0</v>
      </c>
      <c r="I74" s="93">
        <f t="shared" si="226"/>
        <v>0</v>
      </c>
      <c r="J74" s="93">
        <f t="shared" si="226"/>
        <v>0</v>
      </c>
      <c r="K74" s="93">
        <f t="shared" si="226"/>
        <v>0</v>
      </c>
      <c r="L74" s="93">
        <f t="shared" si="226"/>
        <v>0</v>
      </c>
      <c r="M74" s="93">
        <f t="shared" si="226"/>
        <v>0</v>
      </c>
      <c r="N74" s="93">
        <f t="shared" si="226"/>
        <v>0</v>
      </c>
      <c r="O74" s="93">
        <f t="shared" si="226"/>
        <v>0</v>
      </c>
      <c r="P74" s="93">
        <f t="shared" si="226"/>
        <v>0</v>
      </c>
      <c r="Q74" s="93">
        <f t="shared" si="226"/>
        <v>0</v>
      </c>
      <c r="R74" s="130">
        <f t="shared" si="141"/>
        <v>0</v>
      </c>
      <c r="S74" s="95">
        <f t="shared" si="142"/>
        <v>0</v>
      </c>
      <c r="T74" s="95">
        <f t="shared" si="143"/>
        <v>0</v>
      </c>
      <c r="U74" s="95">
        <f t="shared" si="144"/>
        <v>0</v>
      </c>
      <c r="V74" s="95">
        <f t="shared" si="145"/>
        <v>0</v>
      </c>
      <c r="W74" s="95">
        <f t="shared" si="146"/>
        <v>0</v>
      </c>
      <c r="X74" s="95">
        <f t="shared" si="162"/>
        <v>0</v>
      </c>
      <c r="Y74" s="95">
        <f t="shared" si="147"/>
        <v>0</v>
      </c>
      <c r="Z74" s="95">
        <f t="shared" si="148"/>
        <v>0</v>
      </c>
      <c r="AA74" s="95">
        <f t="shared" si="149"/>
        <v>0</v>
      </c>
      <c r="AB74" s="95">
        <f t="shared" si="150"/>
        <v>0</v>
      </c>
      <c r="AC74" s="95">
        <f t="shared" si="151"/>
        <v>0</v>
      </c>
      <c r="AD74" s="107">
        <f t="shared" si="137"/>
        <v>0</v>
      </c>
      <c r="AE74" s="107">
        <f t="shared" si="163"/>
        <v>0</v>
      </c>
      <c r="AF74" s="107">
        <f t="shared" si="152"/>
        <v>0</v>
      </c>
      <c r="AG74" s="107">
        <f t="shared" si="153"/>
        <v>0</v>
      </c>
      <c r="AH74" s="107">
        <f t="shared" si="154"/>
        <v>0</v>
      </c>
      <c r="AI74" s="107">
        <f t="shared" si="155"/>
        <v>0</v>
      </c>
      <c r="AJ74" s="107">
        <f t="shared" si="156"/>
        <v>0</v>
      </c>
      <c r="AK74" s="107">
        <f t="shared" si="157"/>
        <v>0</v>
      </c>
      <c r="AL74" s="107">
        <f t="shared" si="158"/>
        <v>0</v>
      </c>
      <c r="AM74" s="107">
        <f t="shared" si="159"/>
        <v>0</v>
      </c>
      <c r="AN74" s="107">
        <f t="shared" si="160"/>
        <v>0</v>
      </c>
      <c r="AO74" s="107">
        <f t="shared" si="161"/>
        <v>0</v>
      </c>
    </row>
    <row r="75" spans="1:42" ht="16.2" thickBot="1" x14ac:dyDescent="0.35">
      <c r="A75" s="4"/>
      <c r="B75" s="4"/>
      <c r="C75" s="54" t="s">
        <v>85</v>
      </c>
      <c r="D75" s="94">
        <f t="shared" ref="D75:Q75" si="227">D69</f>
        <v>0</v>
      </c>
      <c r="E75" s="94">
        <f t="shared" si="227"/>
        <v>0</v>
      </c>
      <c r="F75" s="94">
        <f t="shared" si="227"/>
        <v>0</v>
      </c>
      <c r="G75" s="94">
        <f t="shared" si="227"/>
        <v>0</v>
      </c>
      <c r="H75" s="94">
        <f t="shared" si="227"/>
        <v>0</v>
      </c>
      <c r="I75" s="94">
        <f t="shared" si="227"/>
        <v>0</v>
      </c>
      <c r="J75" s="94">
        <f t="shared" si="227"/>
        <v>420000</v>
      </c>
      <c r="K75" s="94">
        <f t="shared" si="227"/>
        <v>0</v>
      </c>
      <c r="L75" s="94">
        <f>L69</f>
        <v>0</v>
      </c>
      <c r="M75" s="94">
        <f>M69</f>
        <v>0</v>
      </c>
      <c r="N75" s="94">
        <f t="shared" si="227"/>
        <v>420000</v>
      </c>
      <c r="O75" s="94">
        <f t="shared" si="227"/>
        <v>0</v>
      </c>
      <c r="P75" s="94">
        <f t="shared" si="227"/>
        <v>0</v>
      </c>
      <c r="Q75" s="94">
        <f t="shared" si="227"/>
        <v>0</v>
      </c>
      <c r="R75" s="130">
        <f t="shared" si="141"/>
        <v>0</v>
      </c>
      <c r="S75" s="95">
        <f t="shared" si="142"/>
        <v>0</v>
      </c>
      <c r="T75" s="95">
        <f t="shared" si="143"/>
        <v>0</v>
      </c>
      <c r="U75" s="95">
        <v>0</v>
      </c>
      <c r="V75" s="95">
        <v>0</v>
      </c>
      <c r="W75" s="126">
        <v>0</v>
      </c>
      <c r="X75" s="95">
        <f t="shared" si="162"/>
        <v>0</v>
      </c>
      <c r="Y75" s="95">
        <v>0</v>
      </c>
      <c r="Z75" s="95">
        <v>0</v>
      </c>
      <c r="AA75" s="95">
        <f t="shared" si="149"/>
        <v>0</v>
      </c>
      <c r="AB75" s="95">
        <f t="shared" si="150"/>
        <v>0</v>
      </c>
      <c r="AC75" s="126">
        <v>0</v>
      </c>
      <c r="AD75" s="107">
        <f t="shared" si="137"/>
        <v>0</v>
      </c>
      <c r="AE75" s="107">
        <f t="shared" si="163"/>
        <v>0</v>
      </c>
      <c r="AF75" s="107">
        <f t="shared" si="152"/>
        <v>0</v>
      </c>
      <c r="AG75" s="107">
        <f t="shared" si="153"/>
        <v>0</v>
      </c>
      <c r="AH75" s="107">
        <f t="shared" si="154"/>
        <v>0</v>
      </c>
      <c r="AI75" s="125">
        <v>0</v>
      </c>
      <c r="AJ75" s="107">
        <f t="shared" si="156"/>
        <v>0</v>
      </c>
      <c r="AK75" s="107">
        <f t="shared" si="157"/>
        <v>0</v>
      </c>
      <c r="AL75" s="107">
        <f t="shared" si="158"/>
        <v>0</v>
      </c>
      <c r="AM75" s="107">
        <f t="shared" si="159"/>
        <v>0</v>
      </c>
      <c r="AN75" s="107">
        <f t="shared" si="160"/>
        <v>0</v>
      </c>
      <c r="AO75" s="125">
        <v>0</v>
      </c>
    </row>
    <row r="76" spans="1:42" s="26" customFormat="1" x14ac:dyDescent="0.3">
      <c r="A76" s="24"/>
      <c r="B76" s="24"/>
      <c r="AP76" s="15"/>
    </row>
    <row r="77" spans="1:42" ht="15.75" customHeight="1" x14ac:dyDescent="0.3">
      <c r="A77" s="29"/>
    </row>
    <row r="78" spans="1:42" s="96" customFormat="1" x14ac:dyDescent="0.3">
      <c r="A78" s="29"/>
      <c r="B78" s="10"/>
      <c r="C78" s="4"/>
      <c r="AP78" s="10"/>
    </row>
    <row r="79" spans="1:42" s="95" customFormat="1" x14ac:dyDescent="0.3">
      <c r="A79" s="96"/>
      <c r="B79" s="96"/>
      <c r="AP79" s="4"/>
    </row>
    <row r="80" spans="1:42" s="95" customFormat="1" x14ac:dyDescent="0.3">
      <c r="A80" s="96"/>
      <c r="B80" s="96"/>
      <c r="AP80" s="4"/>
    </row>
    <row r="81" spans="1:42" s="95" customFormat="1" x14ac:dyDescent="0.3">
      <c r="A81" s="96"/>
      <c r="B81" s="96"/>
      <c r="AP81" s="4"/>
    </row>
    <row r="82" spans="1:42" x14ac:dyDescent="0.3">
      <c r="D82" s="95"/>
    </row>
    <row r="83" spans="1:42" s="95" customFormat="1" x14ac:dyDescent="0.3">
      <c r="A83" s="96"/>
      <c r="B83" s="96"/>
      <c r="AP83" s="4"/>
    </row>
    <row r="84" spans="1:42" x14ac:dyDescent="0.3">
      <c r="B84" s="96"/>
      <c r="D84" s="95"/>
    </row>
    <row r="85" spans="1:42" x14ac:dyDescent="0.3">
      <c r="B85" s="96"/>
      <c r="D85" s="95"/>
    </row>
    <row r="86" spans="1:42" x14ac:dyDescent="0.3">
      <c r="D86" s="95"/>
    </row>
    <row r="87" spans="1:42" x14ac:dyDescent="0.3">
      <c r="B87" s="96"/>
    </row>
  </sheetData>
  <mergeCells count="6">
    <mergeCell ref="AU39:AU54"/>
    <mergeCell ref="F1:Q1"/>
    <mergeCell ref="AP1:AP2"/>
    <mergeCell ref="D1:E1"/>
    <mergeCell ref="R1:AC1"/>
    <mergeCell ref="AD1:AO1"/>
  </mergeCells>
  <printOptions horizontalCentered="1"/>
  <pageMargins left="0.2" right="0.2" top="0.25" bottom="0.25" header="0.3" footer="0.3"/>
  <pageSetup paperSize="3" scale="70" fitToWidth="2" pageOrder="overThenDown" orientation="landscape" r:id="rId1"/>
  <headerFooter scaleWithDoc="0"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22" workbookViewId="0">
      <selection activeCell="B29" sqref="B29"/>
    </sheetView>
  </sheetViews>
  <sheetFormatPr defaultColWidth="9.109375" defaultRowHeight="13.8" x14ac:dyDescent="0.25"/>
  <cols>
    <col min="1" max="1" width="11" style="113" customWidth="1"/>
    <col min="2" max="2" width="20.109375" style="113" bestFit="1" customWidth="1"/>
    <col min="3" max="3" width="29.44140625" style="113" bestFit="1" customWidth="1"/>
    <col min="4" max="4" width="11" style="113" bestFit="1" customWidth="1"/>
    <col min="5" max="5" width="37.6640625" style="113" bestFit="1" customWidth="1"/>
    <col min="6" max="17" width="9.109375" style="113"/>
    <col min="18" max="16384" width="9.109375" style="116"/>
  </cols>
  <sheetData>
    <row r="1" spans="1:6" ht="22.8" x14ac:dyDescent="0.25">
      <c r="A1" s="119" t="s">
        <v>126</v>
      </c>
      <c r="B1" s="112"/>
      <c r="C1" s="112"/>
      <c r="D1" s="112"/>
      <c r="E1" s="112"/>
      <c r="F1" s="112"/>
    </row>
    <row r="2" spans="1:6" x14ac:dyDescent="0.25">
      <c r="A2" s="111" t="s">
        <v>149</v>
      </c>
      <c r="B2" s="112"/>
      <c r="C2" s="112"/>
      <c r="D2" s="112"/>
      <c r="E2" s="112"/>
      <c r="F2" s="112"/>
    </row>
    <row r="3" spans="1:6" x14ac:dyDescent="0.25">
      <c r="A3" s="112"/>
      <c r="B3" s="111" t="s">
        <v>127</v>
      </c>
      <c r="C3" s="111" t="s">
        <v>128</v>
      </c>
      <c r="D3" s="115">
        <v>18000</v>
      </c>
      <c r="E3" s="112"/>
      <c r="F3" s="112"/>
    </row>
    <row r="4" spans="1:6" x14ac:dyDescent="0.25">
      <c r="A4" s="112"/>
      <c r="B4" s="112"/>
      <c r="C4" s="111" t="s">
        <v>129</v>
      </c>
      <c r="D4" s="115">
        <v>140000</v>
      </c>
    </row>
    <row r="5" spans="1:6" x14ac:dyDescent="0.25">
      <c r="A5" s="112"/>
      <c r="B5" s="112"/>
      <c r="C5" s="111" t="s">
        <v>130</v>
      </c>
      <c r="D5" s="115">
        <v>20000</v>
      </c>
      <c r="F5" s="112"/>
    </row>
    <row r="6" spans="1:6" x14ac:dyDescent="0.25">
      <c r="A6" s="116"/>
      <c r="B6" s="112"/>
      <c r="C6" s="112" t="s">
        <v>79</v>
      </c>
      <c r="D6" s="115">
        <v>31766</v>
      </c>
      <c r="E6" s="112"/>
      <c r="F6" s="112"/>
    </row>
    <row r="7" spans="1:6" x14ac:dyDescent="0.25">
      <c r="C7" s="112" t="s">
        <v>131</v>
      </c>
      <c r="D7" s="115">
        <v>7902</v>
      </c>
    </row>
    <row r="9" spans="1:6" x14ac:dyDescent="0.25">
      <c r="C9" s="113" t="s">
        <v>158</v>
      </c>
      <c r="D9" s="114">
        <f>SUM(D3:D8)</f>
        <v>217668</v>
      </c>
    </row>
    <row r="10" spans="1:6" x14ac:dyDescent="0.25">
      <c r="D10" s="114"/>
    </row>
    <row r="11" spans="1:6" x14ac:dyDescent="0.25">
      <c r="A11" s="111" t="s">
        <v>147</v>
      </c>
    </row>
    <row r="12" spans="1:6" x14ac:dyDescent="0.25">
      <c r="B12" s="113" t="s">
        <v>132</v>
      </c>
      <c r="E12" s="144" t="s">
        <v>136</v>
      </c>
    </row>
    <row r="13" spans="1:6" x14ac:dyDescent="0.25">
      <c r="B13" s="113" t="s">
        <v>133</v>
      </c>
      <c r="E13" s="144"/>
    </row>
    <row r="14" spans="1:6" ht="41.4" x14ac:dyDescent="0.25">
      <c r="B14" s="121" t="s">
        <v>135</v>
      </c>
      <c r="E14" s="120" t="s">
        <v>137</v>
      </c>
    </row>
    <row r="16" spans="1:6" x14ac:dyDescent="0.25">
      <c r="A16" s="113" t="s">
        <v>138</v>
      </c>
    </row>
    <row r="17" spans="1:2" x14ac:dyDescent="0.25">
      <c r="B17" s="113" t="s">
        <v>139</v>
      </c>
    </row>
    <row r="18" spans="1:2" x14ac:dyDescent="0.25">
      <c r="B18" s="113" t="s">
        <v>157</v>
      </c>
    </row>
    <row r="19" spans="1:2" x14ac:dyDescent="0.25">
      <c r="B19" s="113" t="s">
        <v>140</v>
      </c>
    </row>
    <row r="20" spans="1:2" x14ac:dyDescent="0.25">
      <c r="B20" s="113" t="s">
        <v>142</v>
      </c>
    </row>
    <row r="21" spans="1:2" x14ac:dyDescent="0.25">
      <c r="B21" s="113" t="s">
        <v>141</v>
      </c>
    </row>
    <row r="22" spans="1:2" x14ac:dyDescent="0.25">
      <c r="B22" s="113" t="s">
        <v>143</v>
      </c>
    </row>
    <row r="23" spans="1:2" x14ac:dyDescent="0.25">
      <c r="B23" s="113" t="s">
        <v>144</v>
      </c>
    </row>
    <row r="26" spans="1:2" x14ac:dyDescent="0.25">
      <c r="A26" s="113" t="s">
        <v>145</v>
      </c>
    </row>
    <row r="27" spans="1:2" x14ac:dyDescent="0.25">
      <c r="B27" s="113" t="s">
        <v>150</v>
      </c>
    </row>
  </sheetData>
  <mergeCells count="1"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4 Week Look Out</vt:lpstr>
      <vt:lpstr>Cash Projection to FYE22</vt:lpstr>
      <vt:lpstr>Assumptions</vt:lpstr>
      <vt:lpstr>Assumptions!_GoBack</vt:lpstr>
      <vt:lpstr>'4 Week Look Out'!Print_Area</vt:lpstr>
      <vt:lpstr>'Cash Projection to FYE22'!Print_Area</vt:lpstr>
      <vt:lpstr>'4 Week Look Out'!Print_Titles</vt:lpstr>
      <vt:lpstr>'Cash Projection to FYE22'!Print_Titles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Meegan</dc:creator>
  <cp:lastModifiedBy>Teresa Bianchi</cp:lastModifiedBy>
  <cp:lastPrinted>2021-09-27T17:46:09Z</cp:lastPrinted>
  <dcterms:created xsi:type="dcterms:W3CDTF">2019-07-09T17:31:03Z</dcterms:created>
  <dcterms:modified xsi:type="dcterms:W3CDTF">2021-09-27T18:11:24Z</dcterms:modified>
</cp:coreProperties>
</file>