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drawings/drawing7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1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Governance\Board of Directors\Board Reports\2021\Board Member Materials - September 2021\"/>
    </mc:Choice>
  </mc:AlternateContent>
  <bookViews>
    <workbookView xWindow="0" yWindow="0" windowWidth="20490" windowHeight="7620"/>
  </bookViews>
  <sheets>
    <sheet name="Summary" sheetId="24" r:id="rId1"/>
    <sheet name="Dashboard" sheetId="22" r:id="rId2"/>
    <sheet name="NFB Profit % Scenario's" sheetId="10" r:id="rId3"/>
    <sheet name="Niagara Falls &amp; South Consol" sheetId="7" r:id="rId4"/>
    <sheet name="Niagara Falls Blvd vs Current  " sheetId="9" r:id="rId5"/>
    <sheet name="Current '22 Stores Consolidated" sheetId="2" r:id="rId6"/>
    <sheet name=" Niagara Falls Blvd 22 " sheetId="8" r:id="rId7"/>
    <sheet name="ReStore North 22" sheetId="4" r:id="rId8"/>
    <sheet name="ReStore South 22" sheetId="5" r:id="rId9"/>
    <sheet name="Net Profit Chart" sheetId="15" r:id="rId10"/>
    <sheet name="Revenue Chart" sheetId="19" r:id="rId11"/>
    <sheet name="Source Data" sheetId="12" r:id="rId12"/>
    <sheet name="Total Expenses" sheetId="21" r:id="rId13"/>
    <sheet name="Current Store Scenario (2)" sheetId="6" state="hidden" r:id="rId14"/>
    <sheet name="Different Scenarios" sheetId="1" state="hidden" r:id="rId15"/>
  </sheets>
  <externalReferences>
    <externalReference r:id="rId16"/>
    <externalReference r:id="rId17"/>
    <externalReference r:id="rId18"/>
  </externalReferences>
  <definedNames>
    <definedName name="_xlnm._FilterDatabase" localSheetId="11" hidden="1">'Source Data'!$D$6:$P$6</definedName>
    <definedName name="_xlnm.Print_Area" localSheetId="5">'Current ''22 Stores Consolidated'!$A$1:$N$59</definedName>
    <definedName name="_xlnm.Print_Area" localSheetId="13">'Current Store Scenario (2)'!$A$1:$K$52</definedName>
    <definedName name="_xlnm.Print_Area" localSheetId="2">'NFB Profit % Scenario''s'!$A$1:$AF$31</definedName>
    <definedName name="_xlnm.Print_Area" localSheetId="3">'Niagara Falls &amp; South Consol'!$A$1:$M$59</definedName>
    <definedName name="_xlnm.Print_Area" localSheetId="4">'Niagara Falls Blvd vs Current  '!$A$1:$N$59</definedName>
  </definedNames>
  <calcPr calcId="162913"/>
  <pivotCaches>
    <pivotCache cacheId="0" r:id="rId1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9" l="1"/>
  <c r="F23" i="9"/>
  <c r="F21" i="9"/>
  <c r="F19" i="9"/>
  <c r="F17" i="9"/>
  <c r="F15" i="9"/>
  <c r="F12" i="9"/>
  <c r="F10" i="9"/>
  <c r="F9" i="9"/>
  <c r="F6" i="9"/>
  <c r="AM46" i="8"/>
  <c r="AM48" i="8"/>
  <c r="AM49" i="8"/>
  <c r="AM50" i="8"/>
  <c r="AM51" i="8"/>
  <c r="AM53" i="8"/>
  <c r="AM45" i="8"/>
  <c r="AJ42" i="8"/>
  <c r="AL42" i="8"/>
  <c r="AJ41" i="8"/>
  <c r="AM41" i="8"/>
  <c r="AM40" i="8"/>
  <c r="AI49" i="8"/>
  <c r="AI52" i="8"/>
  <c r="AI48" i="8"/>
  <c r="AF52" i="22"/>
  <c r="AB52" i="22"/>
  <c r="X52" i="22"/>
  <c r="T52" i="22"/>
  <c r="P52" i="22"/>
  <c r="L52" i="22"/>
  <c r="H52" i="22"/>
  <c r="AE48" i="22"/>
  <c r="AA48" i="22"/>
  <c r="W48" i="22"/>
  <c r="S48" i="22"/>
  <c r="O48" i="22"/>
  <c r="K48" i="22"/>
  <c r="G48" i="22"/>
  <c r="AE46" i="22"/>
  <c r="AA46" i="22"/>
  <c r="W46" i="22"/>
  <c r="S46" i="22"/>
  <c r="O46" i="22"/>
  <c r="K46" i="22"/>
  <c r="G46" i="22"/>
  <c r="AE44" i="22"/>
  <c r="AE58" i="22" s="1"/>
  <c r="AA44" i="22"/>
  <c r="W44" i="22"/>
  <c r="W58" i="22" s="1"/>
  <c r="S44" i="22"/>
  <c r="S58" i="22" s="1"/>
  <c r="O44" i="22"/>
  <c r="O58" i="22" s="1"/>
  <c r="K44" i="22"/>
  <c r="G44" i="22"/>
  <c r="G58" i="22" s="1"/>
  <c r="AE42" i="22"/>
  <c r="AA42" i="22"/>
  <c r="W42" i="22"/>
  <c r="S42" i="22"/>
  <c r="O42" i="22"/>
  <c r="K42" i="22"/>
  <c r="G42" i="22"/>
  <c r="AE37" i="22"/>
  <c r="AA37" i="22"/>
  <c r="W37" i="22"/>
  <c r="S37" i="22"/>
  <c r="O37" i="22"/>
  <c r="K37" i="22"/>
  <c r="G37" i="22"/>
  <c r="K9" i="9"/>
  <c r="K12" i="9"/>
  <c r="R14" i="9"/>
  <c r="R13" i="9"/>
  <c r="R12" i="9"/>
  <c r="R15" i="9" s="1"/>
  <c r="R11" i="9"/>
  <c r="K10" i="9"/>
  <c r="N13" i="12"/>
  <c r="N12" i="12"/>
  <c r="AE25" i="10"/>
  <c r="M13" i="12" s="1"/>
  <c r="AD21" i="10"/>
  <c r="J13" i="12" s="1"/>
  <c r="AD19" i="10"/>
  <c r="I13" i="12" s="1"/>
  <c r="AD17" i="10"/>
  <c r="AD31" i="10" s="1"/>
  <c r="P13" i="12" s="1"/>
  <c r="AD15" i="10"/>
  <c r="G13" i="12" s="1"/>
  <c r="AD10" i="10"/>
  <c r="E13" i="12" s="1"/>
  <c r="AA25" i="10"/>
  <c r="M12" i="12" s="1"/>
  <c r="Z21" i="10"/>
  <c r="J12" i="12" s="1"/>
  <c r="Z19" i="10"/>
  <c r="I12" i="12" s="1"/>
  <c r="Z17" i="10"/>
  <c r="Z31" i="10" s="1"/>
  <c r="P12" i="12" s="1"/>
  <c r="Z15" i="10"/>
  <c r="G12" i="12" s="1"/>
  <c r="Z10" i="10"/>
  <c r="E12" i="12" s="1"/>
  <c r="N11" i="12"/>
  <c r="N10" i="12"/>
  <c r="N9" i="12"/>
  <c r="N8" i="12"/>
  <c r="N7" i="12"/>
  <c r="M7" i="12"/>
  <c r="W25" i="10"/>
  <c r="V21" i="10"/>
  <c r="J11" i="12" s="1"/>
  <c r="V19" i="10"/>
  <c r="I11" i="12" s="1"/>
  <c r="V17" i="10"/>
  <c r="V31" i="10" s="1"/>
  <c r="V15" i="10"/>
  <c r="G11" i="12" s="1"/>
  <c r="V10" i="10"/>
  <c r="E11" i="12" s="1"/>
  <c r="S25" i="10"/>
  <c r="M10" i="12" s="1"/>
  <c r="R21" i="10"/>
  <c r="J10" i="12" s="1"/>
  <c r="R19" i="10"/>
  <c r="I10" i="12" s="1"/>
  <c r="R17" i="10"/>
  <c r="R31" i="10" s="1"/>
  <c r="P10" i="12" s="1"/>
  <c r="R15" i="10"/>
  <c r="G10" i="12" s="1"/>
  <c r="R10" i="10"/>
  <c r="E10" i="12" s="1"/>
  <c r="O25" i="10"/>
  <c r="M9" i="12" s="1"/>
  <c r="N21" i="10"/>
  <c r="J9" i="12" s="1"/>
  <c r="N19" i="10"/>
  <c r="I9" i="12" s="1"/>
  <c r="N17" i="10"/>
  <c r="N31" i="10" s="1"/>
  <c r="P9" i="12" s="1"/>
  <c r="N15" i="10"/>
  <c r="G9" i="12" s="1"/>
  <c r="N10" i="10"/>
  <c r="E9" i="12" s="1"/>
  <c r="J21" i="10"/>
  <c r="J8" i="12" s="1"/>
  <c r="J19" i="10"/>
  <c r="I8" i="12" s="1"/>
  <c r="J17" i="10"/>
  <c r="J31" i="10" s="1"/>
  <c r="P8" i="12" s="1"/>
  <c r="J15" i="10"/>
  <c r="G8" i="12" s="1"/>
  <c r="J10" i="10"/>
  <c r="E8" i="12" s="1"/>
  <c r="F21" i="10"/>
  <c r="J7" i="12" s="1"/>
  <c r="F19" i="10"/>
  <c r="I7" i="12" s="1"/>
  <c r="F17" i="10"/>
  <c r="H7" i="12" s="1"/>
  <c r="F15" i="10"/>
  <c r="G7" i="12" s="1"/>
  <c r="F56" i="10"/>
  <c r="F10" i="10"/>
  <c r="E7" i="12" s="1"/>
  <c r="K25" i="10"/>
  <c r="M8" i="12" s="1"/>
  <c r="A59" i="10"/>
  <c r="C53" i="10"/>
  <c r="C52" i="10"/>
  <c r="C48" i="10"/>
  <c r="C47" i="10"/>
  <c r="C43" i="10"/>
  <c r="C42" i="10"/>
  <c r="C38" i="10"/>
  <c r="C37" i="10"/>
  <c r="G25" i="10"/>
  <c r="L9" i="9"/>
  <c r="K10" i="7"/>
  <c r="K12" i="7" s="1"/>
  <c r="L12" i="7" s="1"/>
  <c r="K9" i="7"/>
  <c r="L9" i="7" s="1"/>
  <c r="E12" i="2"/>
  <c r="F9" i="2"/>
  <c r="E9" i="2"/>
  <c r="L9" i="2"/>
  <c r="K12" i="2"/>
  <c r="H12" i="2"/>
  <c r="K9" i="2"/>
  <c r="K10" i="2"/>
  <c r="I9" i="2"/>
  <c r="H10" i="2"/>
  <c r="H9" i="2"/>
  <c r="H10" i="7"/>
  <c r="P11" i="7" s="1"/>
  <c r="AG46" i="8"/>
  <c r="AG45" i="8"/>
  <c r="AE46" i="8"/>
  <c r="AE45" i="8"/>
  <c r="AG53" i="8"/>
  <c r="AG51" i="8"/>
  <c r="AE51" i="8"/>
  <c r="AG52" i="8"/>
  <c r="AE52" i="8"/>
  <c r="AG48" i="8"/>
  <c r="AG49" i="8"/>
  <c r="AG50" i="8"/>
  <c r="AL41" i="8" s="1"/>
  <c r="AG47" i="8"/>
  <c r="AM47" i="8" s="1"/>
  <c r="AE48" i="8"/>
  <c r="AE49" i="8"/>
  <c r="AE50" i="8"/>
  <c r="AE47" i="8"/>
  <c r="M28" i="8"/>
  <c r="N28" i="8"/>
  <c r="E27" i="9"/>
  <c r="K21" i="9"/>
  <c r="K19" i="9"/>
  <c r="K17" i="9"/>
  <c r="K15" i="9"/>
  <c r="K6" i="9"/>
  <c r="L15" i="9" s="1"/>
  <c r="L19" i="9"/>
  <c r="A59" i="9"/>
  <c r="C53" i="9"/>
  <c r="C54" i="9" s="1"/>
  <c r="K54" i="9" s="1"/>
  <c r="C52" i="9"/>
  <c r="C48" i="9"/>
  <c r="C47" i="9"/>
  <c r="C49" i="9" s="1"/>
  <c r="K49" i="9" s="1"/>
  <c r="C43" i="9"/>
  <c r="C42" i="9"/>
  <c r="C38" i="9"/>
  <c r="C37" i="9"/>
  <c r="H21" i="7"/>
  <c r="H21" i="9" s="1"/>
  <c r="H19" i="7"/>
  <c r="H19" i="9" s="1"/>
  <c r="H56" i="9" s="1"/>
  <c r="H17" i="7"/>
  <c r="H31" i="7" s="1"/>
  <c r="H15" i="7"/>
  <c r="H15" i="9" s="1"/>
  <c r="E15" i="9" s="1"/>
  <c r="L77" i="8"/>
  <c r="W77" i="8" s="1"/>
  <c r="K77" i="8"/>
  <c r="W76" i="8"/>
  <c r="V76" i="8"/>
  <c r="S76" i="8"/>
  <c r="R76" i="8"/>
  <c r="O76" i="8"/>
  <c r="N76" i="8"/>
  <c r="L76" i="8"/>
  <c r="U76" i="8" s="1"/>
  <c r="K76" i="8"/>
  <c r="L75" i="8"/>
  <c r="W75" i="8" s="1"/>
  <c r="K75" i="8"/>
  <c r="W74" i="8"/>
  <c r="V74" i="8"/>
  <c r="S74" i="8"/>
  <c r="R74" i="8"/>
  <c r="O74" i="8"/>
  <c r="N74" i="8"/>
  <c r="L74" i="8"/>
  <c r="U74" i="8" s="1"/>
  <c r="K74" i="8"/>
  <c r="K73" i="8"/>
  <c r="V72" i="8"/>
  <c r="U72" i="8"/>
  <c r="S72" i="8"/>
  <c r="R72" i="8"/>
  <c r="Q72" i="8"/>
  <c r="O72" i="8"/>
  <c r="N72" i="8"/>
  <c r="M72" i="8"/>
  <c r="L72" i="8"/>
  <c r="X72" i="8" s="1"/>
  <c r="K72" i="8"/>
  <c r="W71" i="8"/>
  <c r="S71" i="8"/>
  <c r="O71" i="8"/>
  <c r="L71" i="8"/>
  <c r="V71" i="8" s="1"/>
  <c r="K71" i="8"/>
  <c r="V70" i="8"/>
  <c r="U70" i="8"/>
  <c r="R70" i="8"/>
  <c r="Q70" i="8"/>
  <c r="O70" i="8"/>
  <c r="N70" i="8"/>
  <c r="M70" i="8"/>
  <c r="L70" i="8"/>
  <c r="X70" i="8" s="1"/>
  <c r="K70" i="8"/>
  <c r="K69" i="8"/>
  <c r="K68" i="8"/>
  <c r="K67" i="8"/>
  <c r="K66" i="8"/>
  <c r="K65" i="8"/>
  <c r="L64" i="8"/>
  <c r="W64" i="8" s="1"/>
  <c r="K64" i="8"/>
  <c r="X63" i="8"/>
  <c r="W63" i="8"/>
  <c r="V63" i="8"/>
  <c r="U63" i="8"/>
  <c r="T63" i="8"/>
  <c r="S63" i="8"/>
  <c r="R63" i="8"/>
  <c r="Q63" i="8"/>
  <c r="P63" i="8"/>
  <c r="O63" i="8"/>
  <c r="N63" i="8"/>
  <c r="M63" i="8"/>
  <c r="K63" i="8"/>
  <c r="W62" i="8"/>
  <c r="S62" i="8"/>
  <c r="O62" i="8"/>
  <c r="L62" i="8"/>
  <c r="V62" i="8" s="1"/>
  <c r="K62" i="8"/>
  <c r="V61" i="8"/>
  <c r="U61" i="8"/>
  <c r="R61" i="8"/>
  <c r="Q61" i="8"/>
  <c r="N61" i="8"/>
  <c r="M61" i="8"/>
  <c r="L61" i="8"/>
  <c r="X61" i="8" s="1"/>
  <c r="K61" i="8"/>
  <c r="X60" i="8"/>
  <c r="W60" i="8"/>
  <c r="V60" i="8"/>
  <c r="U60" i="8"/>
  <c r="T60" i="8"/>
  <c r="S60" i="8"/>
  <c r="R60" i="8"/>
  <c r="Q60" i="8"/>
  <c r="P60" i="8"/>
  <c r="O60" i="8"/>
  <c r="N60" i="8"/>
  <c r="M60" i="8"/>
  <c r="K60" i="8"/>
  <c r="L59" i="8"/>
  <c r="W59" i="8" s="1"/>
  <c r="K59" i="8"/>
  <c r="W58" i="8"/>
  <c r="V58" i="8"/>
  <c r="U58" i="8"/>
  <c r="S58" i="8"/>
  <c r="R58" i="8"/>
  <c r="Q58" i="8"/>
  <c r="O58" i="8"/>
  <c r="N58" i="8"/>
  <c r="M58" i="8"/>
  <c r="L58" i="8"/>
  <c r="X58" i="8" s="1"/>
  <c r="K58" i="8"/>
  <c r="K57" i="8"/>
  <c r="K56" i="8"/>
  <c r="K55" i="8"/>
  <c r="W54" i="8"/>
  <c r="S54" i="8"/>
  <c r="O54" i="8"/>
  <c r="L54" i="8"/>
  <c r="V54" i="8" s="1"/>
  <c r="K54" i="8"/>
  <c r="X53" i="8"/>
  <c r="W53" i="8"/>
  <c r="V53" i="8"/>
  <c r="U53" i="8"/>
  <c r="T53" i="8"/>
  <c r="S53" i="8"/>
  <c r="R53" i="8"/>
  <c r="Q53" i="8"/>
  <c r="P53" i="8"/>
  <c r="O53" i="8"/>
  <c r="N53" i="8"/>
  <c r="M53" i="8"/>
  <c r="K53" i="8"/>
  <c r="W52" i="8"/>
  <c r="V52" i="8"/>
  <c r="U52" i="8"/>
  <c r="S52" i="8"/>
  <c r="R52" i="8"/>
  <c r="Q52" i="8"/>
  <c r="O52" i="8"/>
  <c r="N52" i="8"/>
  <c r="M52" i="8"/>
  <c r="X52" i="8"/>
  <c r="K52" i="8"/>
  <c r="L51" i="8"/>
  <c r="W51" i="8" s="1"/>
  <c r="K51" i="8"/>
  <c r="K50" i="8"/>
  <c r="W49" i="8"/>
  <c r="S49" i="8"/>
  <c r="O49" i="8"/>
  <c r="V49" i="8"/>
  <c r="K49" i="8"/>
  <c r="U48" i="8"/>
  <c r="Q48" i="8"/>
  <c r="M48" i="8"/>
  <c r="L48" i="8"/>
  <c r="X48" i="8" s="1"/>
  <c r="K48" i="8"/>
  <c r="W47" i="8"/>
  <c r="S47" i="8"/>
  <c r="O47" i="8"/>
  <c r="V47" i="8"/>
  <c r="K47" i="8"/>
  <c r="U46" i="8"/>
  <c r="Q46" i="8"/>
  <c r="M46" i="8"/>
  <c r="X46" i="8"/>
  <c r="K46" i="8"/>
  <c r="W45" i="8"/>
  <c r="S45" i="8"/>
  <c r="O45" i="8"/>
  <c r="L45" i="8"/>
  <c r="V45" i="8" s="1"/>
  <c r="K45" i="8"/>
  <c r="U44" i="8"/>
  <c r="Q44" i="8"/>
  <c r="M44" i="8"/>
  <c r="L44" i="8"/>
  <c r="X44" i="8" s="1"/>
  <c r="K44" i="8"/>
  <c r="K43" i="8"/>
  <c r="K42" i="8"/>
  <c r="K41" i="8"/>
  <c r="K40" i="8"/>
  <c r="K39" i="8"/>
  <c r="K38" i="8"/>
  <c r="K37" i="8"/>
  <c r="K36" i="8"/>
  <c r="W35" i="8"/>
  <c r="S35" i="8"/>
  <c r="O35" i="8"/>
  <c r="M35" i="8"/>
  <c r="V35" i="8"/>
  <c r="K35" i="8"/>
  <c r="K34" i="8"/>
  <c r="K78" i="8" s="1"/>
  <c r="L30" i="8"/>
  <c r="K30" i="8"/>
  <c r="L29" i="8"/>
  <c r="K29" i="8"/>
  <c r="X28" i="8"/>
  <c r="X31" i="8" s="1"/>
  <c r="W28" i="8"/>
  <c r="W31" i="8" s="1"/>
  <c r="V31" i="8"/>
  <c r="U28" i="8"/>
  <c r="U31" i="8" s="1"/>
  <c r="T28" i="8"/>
  <c r="T31" i="8" s="1"/>
  <c r="S28" i="8"/>
  <c r="S31" i="8" s="1"/>
  <c r="R28" i="8"/>
  <c r="R31" i="8" s="1"/>
  <c r="Q28" i="8"/>
  <c r="Q31" i="8" s="1"/>
  <c r="P28" i="8"/>
  <c r="P31" i="8" s="1"/>
  <c r="O28" i="8"/>
  <c r="O31" i="8" s="1"/>
  <c r="K28" i="8"/>
  <c r="K27" i="8"/>
  <c r="K26" i="8"/>
  <c r="K25" i="8"/>
  <c r="K24" i="8"/>
  <c r="K22" i="8"/>
  <c r="K31" i="8" s="1"/>
  <c r="U20" i="8"/>
  <c r="Q20" i="8"/>
  <c r="N20" i="8"/>
  <c r="K20" i="8"/>
  <c r="K32" i="8" s="1"/>
  <c r="K19" i="8"/>
  <c r="L18" i="8"/>
  <c r="K18" i="8"/>
  <c r="K17" i="8"/>
  <c r="X16" i="8"/>
  <c r="X20" i="8" s="1"/>
  <c r="W16" i="8"/>
  <c r="W20" i="8" s="1"/>
  <c r="V16" i="8"/>
  <c r="V20" i="8" s="1"/>
  <c r="U16" i="8"/>
  <c r="T16" i="8"/>
  <c r="T20" i="8" s="1"/>
  <c r="S16" i="8"/>
  <c r="S20" i="8" s="1"/>
  <c r="R16" i="8"/>
  <c r="R20" i="8" s="1"/>
  <c r="Q16" i="8"/>
  <c r="P16" i="8"/>
  <c r="P20" i="8" s="1"/>
  <c r="O16" i="8"/>
  <c r="O20" i="8" s="1"/>
  <c r="N16" i="8"/>
  <c r="M16" i="8"/>
  <c r="K16" i="8"/>
  <c r="K14" i="8"/>
  <c r="L12" i="8"/>
  <c r="K12" i="8"/>
  <c r="K11" i="8"/>
  <c r="K10" i="8"/>
  <c r="I7" i="8"/>
  <c r="K7" i="8" s="1"/>
  <c r="F5" i="8"/>
  <c r="I25" i="7"/>
  <c r="A59" i="7"/>
  <c r="C53" i="7"/>
  <c r="C52" i="7"/>
  <c r="C54" i="7" s="1"/>
  <c r="K54" i="7" s="1"/>
  <c r="C48" i="7"/>
  <c r="C47" i="7"/>
  <c r="C49" i="7" s="1"/>
  <c r="C43" i="7"/>
  <c r="C42" i="7"/>
  <c r="C38" i="7"/>
  <c r="C37" i="7"/>
  <c r="E27" i="7"/>
  <c r="K21" i="7"/>
  <c r="L21" i="7" s="1"/>
  <c r="K19" i="7"/>
  <c r="H56" i="7"/>
  <c r="K17" i="7"/>
  <c r="L17" i="7" s="1"/>
  <c r="K15" i="7"/>
  <c r="L10" i="7"/>
  <c r="K6" i="7"/>
  <c r="E27" i="2"/>
  <c r="A59" i="2"/>
  <c r="K21" i="2"/>
  <c r="H21" i="2"/>
  <c r="H19" i="2"/>
  <c r="H56" i="2" s="1"/>
  <c r="K19" i="2"/>
  <c r="K56" i="2" s="1"/>
  <c r="H17" i="2"/>
  <c r="H31" i="2" s="1"/>
  <c r="H15" i="2"/>
  <c r="H6" i="2"/>
  <c r="E6" i="2" s="1"/>
  <c r="F6" i="2" s="1"/>
  <c r="H29" i="6"/>
  <c r="K6" i="2"/>
  <c r="K17" i="2"/>
  <c r="K31" i="2" s="1"/>
  <c r="K15" i="2"/>
  <c r="K23" i="2" s="1"/>
  <c r="H19" i="6"/>
  <c r="H17" i="6"/>
  <c r="H15" i="6"/>
  <c r="I15" i="6" s="1"/>
  <c r="I13" i="6"/>
  <c r="H13" i="6"/>
  <c r="H6" i="6"/>
  <c r="C51" i="6"/>
  <c r="C52" i="6" s="1"/>
  <c r="C50" i="6"/>
  <c r="C47" i="6"/>
  <c r="H47" i="6" s="1"/>
  <c r="C46" i="6"/>
  <c r="C45" i="6"/>
  <c r="C41" i="6"/>
  <c r="C40" i="6"/>
  <c r="C42" i="6" s="1"/>
  <c r="C36" i="6"/>
  <c r="C35" i="6"/>
  <c r="C37" i="6" s="1"/>
  <c r="E15" i="6"/>
  <c r="F15" i="6" s="1"/>
  <c r="H8" i="6"/>
  <c r="H10" i="6" s="1"/>
  <c r="E6" i="6"/>
  <c r="F6" i="6" s="1"/>
  <c r="W77" i="5"/>
  <c r="V77" i="5"/>
  <c r="S77" i="5"/>
  <c r="R77" i="5"/>
  <c r="O77" i="5"/>
  <c r="N77" i="5"/>
  <c r="L77" i="5"/>
  <c r="U77" i="5" s="1"/>
  <c r="K77" i="5"/>
  <c r="X76" i="5"/>
  <c r="U76" i="5"/>
  <c r="Q76" i="5"/>
  <c r="P76" i="5"/>
  <c r="M76" i="5"/>
  <c r="L76" i="5"/>
  <c r="K76" i="5"/>
  <c r="W75" i="5"/>
  <c r="V75" i="5"/>
  <c r="S75" i="5"/>
  <c r="R75" i="5"/>
  <c r="O75" i="5"/>
  <c r="N75" i="5"/>
  <c r="L75" i="5"/>
  <c r="U75" i="5" s="1"/>
  <c r="K75" i="5"/>
  <c r="X74" i="5"/>
  <c r="U74" i="5"/>
  <c r="Q74" i="5"/>
  <c r="P74" i="5"/>
  <c r="M74" i="5"/>
  <c r="L74" i="5"/>
  <c r="K74" i="5"/>
  <c r="K73" i="5"/>
  <c r="X72" i="5"/>
  <c r="S72" i="5"/>
  <c r="P72" i="5"/>
  <c r="L72" i="5"/>
  <c r="K72" i="5"/>
  <c r="W71" i="5"/>
  <c r="V71" i="5"/>
  <c r="U71" i="5"/>
  <c r="S71" i="5"/>
  <c r="R71" i="5"/>
  <c r="Q71" i="5"/>
  <c r="O71" i="5"/>
  <c r="N71" i="5"/>
  <c r="M71" i="5"/>
  <c r="L71" i="5"/>
  <c r="X71" i="5" s="1"/>
  <c r="K71" i="5"/>
  <c r="X70" i="5"/>
  <c r="W70" i="5"/>
  <c r="S70" i="5"/>
  <c r="P70" i="5"/>
  <c r="O70" i="5"/>
  <c r="L70" i="5"/>
  <c r="K70" i="5"/>
  <c r="K69" i="5"/>
  <c r="K68" i="5"/>
  <c r="K67" i="5"/>
  <c r="K66" i="5"/>
  <c r="K65" i="5"/>
  <c r="W64" i="5"/>
  <c r="V64" i="5"/>
  <c r="S64" i="5"/>
  <c r="R64" i="5"/>
  <c r="O64" i="5"/>
  <c r="N64" i="5"/>
  <c r="L64" i="5"/>
  <c r="U64" i="5" s="1"/>
  <c r="K64" i="5"/>
  <c r="X63" i="5"/>
  <c r="Q63" i="5"/>
  <c r="P63" i="5"/>
  <c r="L63" i="5"/>
  <c r="K63" i="5"/>
  <c r="W62" i="5"/>
  <c r="V62" i="5"/>
  <c r="S62" i="5"/>
  <c r="R62" i="5"/>
  <c r="O62" i="5"/>
  <c r="N62" i="5"/>
  <c r="L62" i="5"/>
  <c r="U62" i="5" s="1"/>
  <c r="K62" i="5"/>
  <c r="X61" i="5"/>
  <c r="Q61" i="5"/>
  <c r="P61" i="5"/>
  <c r="L61" i="5"/>
  <c r="K61" i="5"/>
  <c r="K60" i="5"/>
  <c r="S59" i="5"/>
  <c r="L59" i="5"/>
  <c r="W59" i="5" s="1"/>
  <c r="K59" i="5"/>
  <c r="W58" i="5"/>
  <c r="V58" i="5"/>
  <c r="U58" i="5"/>
  <c r="S58" i="5"/>
  <c r="R58" i="5"/>
  <c r="Q58" i="5"/>
  <c r="O58" i="5"/>
  <c r="N58" i="5"/>
  <c r="M58" i="5"/>
  <c r="L58" i="5"/>
  <c r="X58" i="5" s="1"/>
  <c r="K58" i="5"/>
  <c r="K56" i="5"/>
  <c r="K55" i="5"/>
  <c r="W54" i="5"/>
  <c r="V54" i="5"/>
  <c r="U54" i="5"/>
  <c r="S54" i="5"/>
  <c r="R54" i="5"/>
  <c r="Q54" i="5"/>
  <c r="O54" i="5"/>
  <c r="N54" i="5"/>
  <c r="M54" i="5"/>
  <c r="L54" i="5"/>
  <c r="X54" i="5" s="1"/>
  <c r="K54" i="5"/>
  <c r="X53" i="5"/>
  <c r="W53" i="5"/>
  <c r="V53" i="5"/>
  <c r="U53" i="5"/>
  <c r="T53" i="5"/>
  <c r="S53" i="5"/>
  <c r="R53" i="5"/>
  <c r="Q53" i="5"/>
  <c r="P53" i="5"/>
  <c r="O53" i="5"/>
  <c r="N53" i="5"/>
  <c r="M53" i="5"/>
  <c r="K53" i="5"/>
  <c r="L52" i="5"/>
  <c r="X52" i="5" s="1"/>
  <c r="K52" i="5"/>
  <c r="W51" i="5"/>
  <c r="V51" i="5"/>
  <c r="S51" i="5"/>
  <c r="R51" i="5"/>
  <c r="O51" i="5"/>
  <c r="N51" i="5"/>
  <c r="L51" i="5"/>
  <c r="U51" i="5" s="1"/>
  <c r="K51" i="5"/>
  <c r="K50" i="5"/>
  <c r="W49" i="5"/>
  <c r="V49" i="5"/>
  <c r="U49" i="5"/>
  <c r="S49" i="5"/>
  <c r="R49" i="5"/>
  <c r="Q49" i="5"/>
  <c r="O49" i="5"/>
  <c r="N49" i="5"/>
  <c r="M49" i="5"/>
  <c r="L49" i="5"/>
  <c r="X49" i="5" s="1"/>
  <c r="K49" i="5"/>
  <c r="L48" i="5"/>
  <c r="K48" i="5"/>
  <c r="L47" i="5"/>
  <c r="K47" i="5"/>
  <c r="X46" i="5"/>
  <c r="W46" i="5"/>
  <c r="S46" i="5"/>
  <c r="P46" i="5"/>
  <c r="O46" i="5"/>
  <c r="L46" i="5"/>
  <c r="K46" i="5"/>
  <c r="W45" i="5"/>
  <c r="V45" i="5"/>
  <c r="U45" i="5"/>
  <c r="S45" i="5"/>
  <c r="R45" i="5"/>
  <c r="Q45" i="5"/>
  <c r="O45" i="5"/>
  <c r="N45" i="5"/>
  <c r="M45" i="5"/>
  <c r="L45" i="5"/>
  <c r="X45" i="5" s="1"/>
  <c r="K45" i="5"/>
  <c r="X44" i="5"/>
  <c r="W44" i="5"/>
  <c r="P44" i="5"/>
  <c r="O44" i="5"/>
  <c r="L44" i="5"/>
  <c r="L78" i="5" s="1"/>
  <c r="K44" i="5"/>
  <c r="K43" i="5"/>
  <c r="X42" i="5"/>
  <c r="W42" i="5"/>
  <c r="V42" i="5"/>
  <c r="U42" i="5"/>
  <c r="T42" i="5"/>
  <c r="S42" i="5"/>
  <c r="R42" i="5"/>
  <c r="Q42" i="5"/>
  <c r="P42" i="5"/>
  <c r="O42" i="5"/>
  <c r="N42" i="5"/>
  <c r="M42" i="5"/>
  <c r="K42" i="5"/>
  <c r="K41" i="5"/>
  <c r="K40" i="5"/>
  <c r="K39" i="5"/>
  <c r="K38" i="5"/>
  <c r="K37" i="5"/>
  <c r="X36" i="5"/>
  <c r="W36" i="5"/>
  <c r="V36" i="5"/>
  <c r="U36" i="5"/>
  <c r="T36" i="5"/>
  <c r="S36" i="5"/>
  <c r="R36" i="5"/>
  <c r="Q36" i="5"/>
  <c r="P36" i="5"/>
  <c r="O36" i="5"/>
  <c r="N36" i="5"/>
  <c r="M36" i="5"/>
  <c r="K36" i="5"/>
  <c r="W35" i="5"/>
  <c r="V35" i="5"/>
  <c r="U35" i="5"/>
  <c r="S35" i="5"/>
  <c r="R35" i="5"/>
  <c r="Q35" i="5"/>
  <c r="O35" i="5"/>
  <c r="N35" i="5"/>
  <c r="M35" i="5"/>
  <c r="L35" i="5"/>
  <c r="X35" i="5" s="1"/>
  <c r="K35" i="5"/>
  <c r="K34" i="5"/>
  <c r="W31" i="5"/>
  <c r="V31" i="5"/>
  <c r="S31" i="5"/>
  <c r="R31" i="5"/>
  <c r="O31" i="5"/>
  <c r="N31" i="5"/>
  <c r="L30" i="5"/>
  <c r="K30" i="5"/>
  <c r="L29" i="5"/>
  <c r="K29" i="5"/>
  <c r="X28" i="5"/>
  <c r="X31" i="5" s="1"/>
  <c r="W28" i="5"/>
  <c r="V28" i="5"/>
  <c r="U28" i="5"/>
  <c r="U31" i="5" s="1"/>
  <c r="U32" i="5" s="1"/>
  <c r="T28" i="5"/>
  <c r="T31" i="5" s="1"/>
  <c r="T32" i="5" s="1"/>
  <c r="S28" i="5"/>
  <c r="R28" i="5"/>
  <c r="Q28" i="5"/>
  <c r="Q31" i="5" s="1"/>
  <c r="P28" i="5"/>
  <c r="P31" i="5" s="1"/>
  <c r="O28" i="5"/>
  <c r="N28" i="5"/>
  <c r="M28" i="5"/>
  <c r="M31" i="5" s="1"/>
  <c r="L31" i="5" s="1"/>
  <c r="K28" i="5"/>
  <c r="K27" i="5"/>
  <c r="K26" i="5"/>
  <c r="K31" i="5" s="1"/>
  <c r="K25" i="5"/>
  <c r="K24" i="5"/>
  <c r="K22" i="5"/>
  <c r="X20" i="5"/>
  <c r="X32" i="5" s="1"/>
  <c r="W20" i="5"/>
  <c r="W32" i="5" s="1"/>
  <c r="T20" i="5"/>
  <c r="S20" i="5"/>
  <c r="P20" i="5"/>
  <c r="P32" i="5" s="1"/>
  <c r="O20" i="5"/>
  <c r="O32" i="5" s="1"/>
  <c r="K20" i="5"/>
  <c r="K19" i="5"/>
  <c r="L18" i="5"/>
  <c r="K18" i="5"/>
  <c r="K17" i="5"/>
  <c r="X16" i="5"/>
  <c r="W16" i="5"/>
  <c r="V16" i="5"/>
  <c r="V20" i="5" s="1"/>
  <c r="U16" i="5"/>
  <c r="U20" i="5" s="1"/>
  <c r="T16" i="5"/>
  <c r="S16" i="5"/>
  <c r="R16" i="5"/>
  <c r="R20" i="5" s="1"/>
  <c r="R32" i="5" s="1"/>
  <c r="Q16" i="5"/>
  <c r="Q20" i="5" s="1"/>
  <c r="Q32" i="5" s="1"/>
  <c r="P16" i="5"/>
  <c r="O16" i="5"/>
  <c r="N16" i="5"/>
  <c r="N20" i="5" s="1"/>
  <c r="M16" i="5"/>
  <c r="M20" i="5" s="1"/>
  <c r="L20" i="5" s="1"/>
  <c r="L32" i="5" s="1"/>
  <c r="L79" i="5" s="1"/>
  <c r="K16" i="5"/>
  <c r="K14" i="5"/>
  <c r="K12" i="5"/>
  <c r="K11" i="5"/>
  <c r="L10" i="5"/>
  <c r="K10" i="5"/>
  <c r="I7" i="5"/>
  <c r="K7" i="5" s="1"/>
  <c r="F5" i="5"/>
  <c r="X77" i="4"/>
  <c r="L77" i="4"/>
  <c r="K77" i="4"/>
  <c r="V76" i="4"/>
  <c r="R76" i="4"/>
  <c r="N76" i="4"/>
  <c r="L76" i="4"/>
  <c r="U76" i="4" s="1"/>
  <c r="K76" i="4"/>
  <c r="X75" i="4"/>
  <c r="T75" i="4"/>
  <c r="P75" i="4"/>
  <c r="L75" i="4"/>
  <c r="K75" i="4"/>
  <c r="V74" i="4"/>
  <c r="R74" i="4"/>
  <c r="N74" i="4"/>
  <c r="L74" i="4"/>
  <c r="U74" i="4" s="1"/>
  <c r="K74" i="4"/>
  <c r="K73" i="4"/>
  <c r="W72" i="4"/>
  <c r="V72" i="4"/>
  <c r="U72" i="4"/>
  <c r="S72" i="4"/>
  <c r="R72" i="4"/>
  <c r="Q72" i="4"/>
  <c r="O72" i="4"/>
  <c r="N72" i="4"/>
  <c r="M72" i="4"/>
  <c r="L72" i="4"/>
  <c r="X72" i="4" s="1"/>
  <c r="K72" i="4"/>
  <c r="W71" i="4"/>
  <c r="S71" i="4"/>
  <c r="O71" i="4"/>
  <c r="L71" i="4"/>
  <c r="V71" i="4" s="1"/>
  <c r="K71" i="4"/>
  <c r="W70" i="4"/>
  <c r="V70" i="4"/>
  <c r="U70" i="4"/>
  <c r="S70" i="4"/>
  <c r="R70" i="4"/>
  <c r="Q70" i="4"/>
  <c r="O70" i="4"/>
  <c r="N70" i="4"/>
  <c r="M70" i="4"/>
  <c r="L70" i="4"/>
  <c r="X70" i="4" s="1"/>
  <c r="K70" i="4"/>
  <c r="K69" i="4"/>
  <c r="K68" i="4"/>
  <c r="K67" i="4"/>
  <c r="K66" i="4"/>
  <c r="K65" i="4"/>
  <c r="L64" i="4"/>
  <c r="K64" i="4"/>
  <c r="X63" i="4"/>
  <c r="W63" i="4"/>
  <c r="V63" i="4"/>
  <c r="U63" i="4"/>
  <c r="T63" i="4"/>
  <c r="S63" i="4"/>
  <c r="R63" i="4"/>
  <c r="Q63" i="4"/>
  <c r="P63" i="4"/>
  <c r="O63" i="4"/>
  <c r="N63" i="4"/>
  <c r="M63" i="4"/>
  <c r="K63" i="4"/>
  <c r="W62" i="4"/>
  <c r="S62" i="4"/>
  <c r="O62" i="4"/>
  <c r="L62" i="4"/>
  <c r="V62" i="4" s="1"/>
  <c r="K62" i="4"/>
  <c r="W61" i="4"/>
  <c r="V61" i="4"/>
  <c r="U61" i="4"/>
  <c r="S61" i="4"/>
  <c r="R61" i="4"/>
  <c r="Q61" i="4"/>
  <c r="O61" i="4"/>
  <c r="N61" i="4"/>
  <c r="M61" i="4"/>
  <c r="L61" i="4"/>
  <c r="X61" i="4" s="1"/>
  <c r="K61" i="4"/>
  <c r="X60" i="4"/>
  <c r="W60" i="4"/>
  <c r="V60" i="4"/>
  <c r="U60" i="4"/>
  <c r="T60" i="4"/>
  <c r="S60" i="4"/>
  <c r="R60" i="4"/>
  <c r="Q60" i="4"/>
  <c r="P60" i="4"/>
  <c r="O60" i="4"/>
  <c r="N60" i="4"/>
  <c r="M60" i="4"/>
  <c r="K60" i="4"/>
  <c r="X59" i="4"/>
  <c r="L59" i="4"/>
  <c r="K59" i="4"/>
  <c r="V58" i="4"/>
  <c r="R58" i="4"/>
  <c r="N58" i="4"/>
  <c r="L58" i="4"/>
  <c r="U58" i="4" s="1"/>
  <c r="K58" i="4"/>
  <c r="K57" i="4"/>
  <c r="K56" i="4"/>
  <c r="K55" i="4"/>
  <c r="W54" i="4"/>
  <c r="S54" i="4"/>
  <c r="O54" i="4"/>
  <c r="L54" i="4"/>
  <c r="V54" i="4" s="1"/>
  <c r="K54" i="4"/>
  <c r="X53" i="4"/>
  <c r="W53" i="4"/>
  <c r="V53" i="4"/>
  <c r="U53" i="4"/>
  <c r="T53" i="4"/>
  <c r="S53" i="4"/>
  <c r="R53" i="4"/>
  <c r="Q53" i="4"/>
  <c r="P53" i="4"/>
  <c r="O53" i="4"/>
  <c r="N53" i="4"/>
  <c r="M53" i="4"/>
  <c r="K53" i="4"/>
  <c r="V52" i="4"/>
  <c r="R52" i="4"/>
  <c r="N52" i="4"/>
  <c r="L52" i="4"/>
  <c r="U52" i="4" s="1"/>
  <c r="K52" i="4"/>
  <c r="X51" i="4"/>
  <c r="L51" i="4"/>
  <c r="K51" i="4"/>
  <c r="K50" i="4"/>
  <c r="W49" i="4"/>
  <c r="S49" i="4"/>
  <c r="O49" i="4"/>
  <c r="L49" i="4"/>
  <c r="V49" i="4" s="1"/>
  <c r="K49" i="4"/>
  <c r="W48" i="4"/>
  <c r="V48" i="4"/>
  <c r="U48" i="4"/>
  <c r="S48" i="4"/>
  <c r="R48" i="4"/>
  <c r="Q48" i="4"/>
  <c r="O48" i="4"/>
  <c r="N48" i="4"/>
  <c r="M48" i="4"/>
  <c r="L48" i="4"/>
  <c r="X48" i="4" s="1"/>
  <c r="K48" i="4"/>
  <c r="W47" i="4"/>
  <c r="S47" i="4"/>
  <c r="O47" i="4"/>
  <c r="L47" i="4"/>
  <c r="V47" i="4" s="1"/>
  <c r="K47" i="4"/>
  <c r="W46" i="4"/>
  <c r="V46" i="4"/>
  <c r="U46" i="4"/>
  <c r="S46" i="4"/>
  <c r="R46" i="4"/>
  <c r="Q46" i="4"/>
  <c r="O46" i="4"/>
  <c r="N46" i="4"/>
  <c r="M46" i="4"/>
  <c r="L46" i="4"/>
  <c r="X46" i="4" s="1"/>
  <c r="K46" i="4"/>
  <c r="U45" i="4"/>
  <c r="P45" i="4"/>
  <c r="L45" i="4"/>
  <c r="K45" i="4"/>
  <c r="W44" i="4"/>
  <c r="V44" i="4"/>
  <c r="U44" i="4"/>
  <c r="S44" i="4"/>
  <c r="R44" i="4"/>
  <c r="Q44" i="4"/>
  <c r="O44" i="4"/>
  <c r="N44" i="4"/>
  <c r="M44" i="4"/>
  <c r="L44" i="4"/>
  <c r="X44" i="4" s="1"/>
  <c r="K44" i="4"/>
  <c r="K43" i="4"/>
  <c r="K42" i="4"/>
  <c r="K41" i="4"/>
  <c r="K40" i="4"/>
  <c r="K39" i="4"/>
  <c r="K38" i="4"/>
  <c r="K37" i="4"/>
  <c r="K36" i="4"/>
  <c r="X35" i="4"/>
  <c r="U35" i="4"/>
  <c r="T35" i="4"/>
  <c r="S35" i="4"/>
  <c r="P35" i="4"/>
  <c r="O35" i="4"/>
  <c r="M35" i="4"/>
  <c r="L35" i="4"/>
  <c r="K35" i="4"/>
  <c r="K34" i="4"/>
  <c r="X32" i="4"/>
  <c r="T32" i="4"/>
  <c r="X31" i="4"/>
  <c r="V31" i="4"/>
  <c r="U31" i="4"/>
  <c r="T31" i="4"/>
  <c r="Q31" i="4"/>
  <c r="M31" i="4"/>
  <c r="L30" i="4"/>
  <c r="K30" i="4"/>
  <c r="L29" i="4"/>
  <c r="K29" i="4"/>
  <c r="X28" i="4"/>
  <c r="W28" i="4"/>
  <c r="W31" i="4" s="1"/>
  <c r="V28" i="4"/>
  <c r="U28" i="4"/>
  <c r="T28" i="4"/>
  <c r="S28" i="4"/>
  <c r="S31" i="4" s="1"/>
  <c r="R28" i="4"/>
  <c r="R31" i="4" s="1"/>
  <c r="Q28" i="4"/>
  <c r="P28" i="4"/>
  <c r="P31" i="4" s="1"/>
  <c r="O28" i="4"/>
  <c r="O31" i="4" s="1"/>
  <c r="N28" i="4"/>
  <c r="L28" i="4" s="1"/>
  <c r="M28" i="4"/>
  <c r="K28" i="4"/>
  <c r="K27" i="4"/>
  <c r="K26" i="4"/>
  <c r="K25" i="4"/>
  <c r="K24" i="4"/>
  <c r="K22" i="4"/>
  <c r="K31" i="4" s="1"/>
  <c r="K32" i="4" s="1"/>
  <c r="W20" i="4"/>
  <c r="W32" i="4" s="1"/>
  <c r="U20" i="4"/>
  <c r="U32" i="4" s="1"/>
  <c r="M20" i="4"/>
  <c r="K20" i="4"/>
  <c r="K19" i="4"/>
  <c r="L18" i="4"/>
  <c r="K18" i="4"/>
  <c r="K17" i="4"/>
  <c r="X16" i="4"/>
  <c r="X20" i="4" s="1"/>
  <c r="W16" i="4"/>
  <c r="V16" i="4"/>
  <c r="V20" i="4" s="1"/>
  <c r="V32" i="4" s="1"/>
  <c r="U16" i="4"/>
  <c r="T16" i="4"/>
  <c r="T20" i="4" s="1"/>
  <c r="S16" i="4"/>
  <c r="S20" i="4" s="1"/>
  <c r="S32" i="4" s="1"/>
  <c r="R16" i="4"/>
  <c r="R20" i="4" s="1"/>
  <c r="R32" i="4" s="1"/>
  <c r="Q16" i="4"/>
  <c r="Q20" i="4" s="1"/>
  <c r="Q32" i="4" s="1"/>
  <c r="P16" i="4"/>
  <c r="P20" i="4" s="1"/>
  <c r="P32" i="4" s="1"/>
  <c r="O16" i="4"/>
  <c r="O20" i="4" s="1"/>
  <c r="O32" i="4" s="1"/>
  <c r="N16" i="4"/>
  <c r="N20" i="4" s="1"/>
  <c r="M16" i="4"/>
  <c r="K16" i="4"/>
  <c r="K14" i="4"/>
  <c r="L12" i="4"/>
  <c r="K12" i="4"/>
  <c r="K11" i="4"/>
  <c r="L10" i="4"/>
  <c r="K10" i="4"/>
  <c r="I7" i="4"/>
  <c r="K7" i="4" s="1"/>
  <c r="F5" i="4"/>
  <c r="AA14" i="1"/>
  <c r="AI47" i="8" l="1"/>
  <c r="AI54" i="8" s="1"/>
  <c r="AJ40" i="8"/>
  <c r="AL40" i="8" s="1"/>
  <c r="AM52" i="8"/>
  <c r="AM54" i="8"/>
  <c r="AI50" i="8"/>
  <c r="AG54" i="8"/>
  <c r="H8" i="12"/>
  <c r="H10" i="9"/>
  <c r="H17" i="9"/>
  <c r="K50" i="22"/>
  <c r="S50" i="22"/>
  <c r="AA50" i="22"/>
  <c r="G50" i="22"/>
  <c r="O50" i="22"/>
  <c r="W50" i="22"/>
  <c r="AE50" i="22"/>
  <c r="K58" i="22"/>
  <c r="AA58" i="22"/>
  <c r="C44" i="10"/>
  <c r="C54" i="10"/>
  <c r="H11" i="12"/>
  <c r="H12" i="12"/>
  <c r="H10" i="12"/>
  <c r="H13" i="12"/>
  <c r="H9" i="12"/>
  <c r="M11" i="12"/>
  <c r="AD23" i="10"/>
  <c r="K13" i="12" s="1"/>
  <c r="Z23" i="10"/>
  <c r="K12" i="12" s="1"/>
  <c r="V23" i="10"/>
  <c r="K11" i="12" s="1"/>
  <c r="R23" i="10"/>
  <c r="K10" i="12" s="1"/>
  <c r="N23" i="10"/>
  <c r="K9" i="12" s="1"/>
  <c r="J23" i="10"/>
  <c r="K8" i="12" s="1"/>
  <c r="C49" i="10"/>
  <c r="F49" i="10" s="1"/>
  <c r="C39" i="10"/>
  <c r="F39" i="10" s="1"/>
  <c r="F44" i="10"/>
  <c r="F31" i="10"/>
  <c r="F54" i="10"/>
  <c r="F23" i="10"/>
  <c r="K7" i="12" s="1"/>
  <c r="AB10" i="8"/>
  <c r="I25" i="9"/>
  <c r="L10" i="9"/>
  <c r="L21" i="9"/>
  <c r="C39" i="9"/>
  <c r="K39" i="9" s="1"/>
  <c r="E21" i="9"/>
  <c r="C44" i="9"/>
  <c r="K44" i="9" s="1"/>
  <c r="K31" i="7"/>
  <c r="E19" i="7"/>
  <c r="K23" i="7"/>
  <c r="L23" i="7" s="1"/>
  <c r="L19" i="7"/>
  <c r="K29" i="7"/>
  <c r="E21" i="7"/>
  <c r="L6" i="7"/>
  <c r="C39" i="7"/>
  <c r="K56" i="7"/>
  <c r="E15" i="7"/>
  <c r="C44" i="7"/>
  <c r="H44" i="7" s="1"/>
  <c r="E17" i="7"/>
  <c r="E31" i="7" s="1"/>
  <c r="E21" i="2"/>
  <c r="E19" i="2"/>
  <c r="F19" i="2" s="1"/>
  <c r="E15" i="2"/>
  <c r="F15" i="2" s="1"/>
  <c r="I21" i="2"/>
  <c r="E29" i="2"/>
  <c r="L21" i="2"/>
  <c r="E17" i="2"/>
  <c r="E19" i="9"/>
  <c r="K23" i="9"/>
  <c r="L23" i="9" s="1"/>
  <c r="L6" i="9"/>
  <c r="K31" i="9"/>
  <c r="K56" i="9"/>
  <c r="L17" i="9"/>
  <c r="W32" i="8"/>
  <c r="Q32" i="8"/>
  <c r="U32" i="8"/>
  <c r="X32" i="8"/>
  <c r="T32" i="8"/>
  <c r="S32" i="8"/>
  <c r="P32" i="8"/>
  <c r="O32" i="8"/>
  <c r="H49" i="9"/>
  <c r="H39" i="9"/>
  <c r="H54" i="9"/>
  <c r="H23" i="9"/>
  <c r="P14" i="9" s="1"/>
  <c r="K79" i="8"/>
  <c r="R32" i="8"/>
  <c r="V32" i="8"/>
  <c r="P51" i="8"/>
  <c r="T59" i="8"/>
  <c r="X59" i="8"/>
  <c r="P64" i="8"/>
  <c r="T64" i="8"/>
  <c r="X64" i="8"/>
  <c r="P75" i="8"/>
  <c r="T75" i="8"/>
  <c r="X75" i="8"/>
  <c r="P77" i="8"/>
  <c r="T77" i="8"/>
  <c r="X77" i="8"/>
  <c r="P35" i="8"/>
  <c r="T35" i="8"/>
  <c r="X35" i="8"/>
  <c r="N44" i="8"/>
  <c r="R44" i="8"/>
  <c r="V44" i="8"/>
  <c r="V78" i="8" s="1"/>
  <c r="P45" i="8"/>
  <c r="T45" i="8"/>
  <c r="X45" i="8"/>
  <c r="N46" i="8"/>
  <c r="R46" i="8"/>
  <c r="V46" i="8"/>
  <c r="P47" i="8"/>
  <c r="T47" i="8"/>
  <c r="X47" i="8"/>
  <c r="N48" i="8"/>
  <c r="R48" i="8"/>
  <c r="V48" i="8"/>
  <c r="P49" i="8"/>
  <c r="T49" i="8"/>
  <c r="X49" i="8"/>
  <c r="M51" i="8"/>
  <c r="Q51" i="8"/>
  <c r="U51" i="8"/>
  <c r="P54" i="8"/>
  <c r="T54" i="8"/>
  <c r="X54" i="8"/>
  <c r="M59" i="8"/>
  <c r="Q59" i="8"/>
  <c r="U59" i="8"/>
  <c r="P62" i="8"/>
  <c r="T62" i="8"/>
  <c r="X62" i="8"/>
  <c r="M64" i="8"/>
  <c r="Q64" i="8"/>
  <c r="U64" i="8"/>
  <c r="P71" i="8"/>
  <c r="T71" i="8"/>
  <c r="X71" i="8"/>
  <c r="M75" i="8"/>
  <c r="Q75" i="8"/>
  <c r="U75" i="8"/>
  <c r="M77" i="8"/>
  <c r="Q77" i="8"/>
  <c r="U77" i="8"/>
  <c r="T51" i="8"/>
  <c r="Q35" i="8"/>
  <c r="U35" i="8"/>
  <c r="O44" i="8"/>
  <c r="O78" i="8" s="1"/>
  <c r="S44" i="8"/>
  <c r="W44" i="8"/>
  <c r="M45" i="8"/>
  <c r="Q45" i="8"/>
  <c r="U45" i="8"/>
  <c r="O46" i="8"/>
  <c r="S46" i="8"/>
  <c r="W46" i="8"/>
  <c r="M47" i="8"/>
  <c r="Q47" i="8"/>
  <c r="U47" i="8"/>
  <c r="O48" i="8"/>
  <c r="S48" i="8"/>
  <c r="W48" i="8"/>
  <c r="M49" i="8"/>
  <c r="Q49" i="8"/>
  <c r="U49" i="8"/>
  <c r="N51" i="8"/>
  <c r="R51" i="8"/>
  <c r="V51" i="8"/>
  <c r="P52" i="8"/>
  <c r="T52" i="8"/>
  <c r="M54" i="8"/>
  <c r="Q54" i="8"/>
  <c r="U54" i="8"/>
  <c r="P58" i="8"/>
  <c r="T58" i="8"/>
  <c r="N59" i="8"/>
  <c r="R59" i="8"/>
  <c r="V59" i="8"/>
  <c r="O61" i="8"/>
  <c r="S61" i="8"/>
  <c r="W61" i="8"/>
  <c r="M62" i="8"/>
  <c r="Q62" i="8"/>
  <c r="U62" i="8"/>
  <c r="N64" i="8"/>
  <c r="R64" i="8"/>
  <c r="V64" i="8"/>
  <c r="S70" i="8"/>
  <c r="W70" i="8"/>
  <c r="M71" i="8"/>
  <c r="Q71" i="8"/>
  <c r="U71" i="8"/>
  <c r="W72" i="8"/>
  <c r="P74" i="8"/>
  <c r="T74" i="8"/>
  <c r="X74" i="8"/>
  <c r="N75" i="8"/>
  <c r="R75" i="8"/>
  <c r="V75" i="8"/>
  <c r="P76" i="8"/>
  <c r="T76" i="8"/>
  <c r="X76" i="8"/>
  <c r="N77" i="8"/>
  <c r="R77" i="8"/>
  <c r="V77" i="8"/>
  <c r="L78" i="8"/>
  <c r="X51" i="8"/>
  <c r="P59" i="8"/>
  <c r="N35" i="8"/>
  <c r="R35" i="8"/>
  <c r="P44" i="8"/>
  <c r="T44" i="8"/>
  <c r="N45" i="8"/>
  <c r="R45" i="8"/>
  <c r="P46" i="8"/>
  <c r="T46" i="8"/>
  <c r="N47" i="8"/>
  <c r="R47" i="8"/>
  <c r="P48" i="8"/>
  <c r="T48" i="8"/>
  <c r="N49" i="8"/>
  <c r="R49" i="8"/>
  <c r="O51" i="8"/>
  <c r="S51" i="8"/>
  <c r="N54" i="8"/>
  <c r="R54" i="8"/>
  <c r="O59" i="8"/>
  <c r="S59" i="8"/>
  <c r="P61" i="8"/>
  <c r="T61" i="8"/>
  <c r="N62" i="8"/>
  <c r="R62" i="8"/>
  <c r="O64" i="8"/>
  <c r="S64" i="8"/>
  <c r="P70" i="8"/>
  <c r="T70" i="8"/>
  <c r="N71" i="8"/>
  <c r="R71" i="8"/>
  <c r="P72" i="8"/>
  <c r="T72" i="8"/>
  <c r="M74" i="8"/>
  <c r="Q74" i="8"/>
  <c r="O75" i="8"/>
  <c r="S75" i="8"/>
  <c r="M76" i="8"/>
  <c r="Q76" i="8"/>
  <c r="O77" i="8"/>
  <c r="S77" i="8"/>
  <c r="K49" i="7"/>
  <c r="H49" i="7"/>
  <c r="E23" i="7"/>
  <c r="K39" i="7"/>
  <c r="H39" i="7"/>
  <c r="H54" i="7"/>
  <c r="L15" i="7"/>
  <c r="H23" i="7"/>
  <c r="P12" i="7" s="1"/>
  <c r="L10" i="2"/>
  <c r="I10" i="2"/>
  <c r="I15" i="2"/>
  <c r="E10" i="2"/>
  <c r="I12" i="2"/>
  <c r="L15" i="2"/>
  <c r="H42" i="6"/>
  <c r="E42" i="6"/>
  <c r="E37" i="6"/>
  <c r="E17" i="6" s="1"/>
  <c r="F17" i="6" s="1"/>
  <c r="H37" i="6"/>
  <c r="I17" i="6" s="1"/>
  <c r="H52" i="6"/>
  <c r="E52" i="6"/>
  <c r="E47" i="6"/>
  <c r="E13" i="6"/>
  <c r="E19" i="6"/>
  <c r="I6" i="6"/>
  <c r="V48" i="5"/>
  <c r="R48" i="5"/>
  <c r="N48" i="5"/>
  <c r="U48" i="5"/>
  <c r="Q48" i="5"/>
  <c r="M48" i="5"/>
  <c r="T48" i="5"/>
  <c r="T52" i="5"/>
  <c r="S32" i="5"/>
  <c r="W48" i="5"/>
  <c r="W78" i="5" s="1"/>
  <c r="W79" i="5" s="1"/>
  <c r="M52" i="5"/>
  <c r="U52" i="5"/>
  <c r="T59" i="5"/>
  <c r="N32" i="5"/>
  <c r="V32" i="5"/>
  <c r="S44" i="5"/>
  <c r="S78" i="5" s="1"/>
  <c r="V46" i="5"/>
  <c r="V78" i="5" s="1"/>
  <c r="R46" i="5"/>
  <c r="N46" i="5"/>
  <c r="U46" i="5"/>
  <c r="Q46" i="5"/>
  <c r="M46" i="5"/>
  <c r="T46" i="5"/>
  <c r="P48" i="5"/>
  <c r="X48" i="5"/>
  <c r="X78" i="5" s="1"/>
  <c r="X79" i="5" s="1"/>
  <c r="P52" i="5"/>
  <c r="O59" i="5"/>
  <c r="W61" i="5"/>
  <c r="S61" i="5"/>
  <c r="O61" i="5"/>
  <c r="V61" i="5"/>
  <c r="R61" i="5"/>
  <c r="N61" i="5"/>
  <c r="T61" i="5"/>
  <c r="W63" i="5"/>
  <c r="S63" i="5"/>
  <c r="O63" i="5"/>
  <c r="V63" i="5"/>
  <c r="R63" i="5"/>
  <c r="N63" i="5"/>
  <c r="T63" i="5"/>
  <c r="V72" i="5"/>
  <c r="R72" i="5"/>
  <c r="N72" i="5"/>
  <c r="U72" i="5"/>
  <c r="Q72" i="5"/>
  <c r="M72" i="5"/>
  <c r="T72" i="5"/>
  <c r="M32" i="5"/>
  <c r="W52" i="5"/>
  <c r="S52" i="5"/>
  <c r="O52" i="5"/>
  <c r="V52" i="5"/>
  <c r="R52" i="5"/>
  <c r="N52" i="5"/>
  <c r="K32" i="5"/>
  <c r="O48" i="5"/>
  <c r="V59" i="5"/>
  <c r="R59" i="5"/>
  <c r="N59" i="5"/>
  <c r="U59" i="5"/>
  <c r="Q59" i="5"/>
  <c r="M59" i="5"/>
  <c r="L28" i="5"/>
  <c r="K78" i="5"/>
  <c r="O78" i="5"/>
  <c r="O79" i="5" s="1"/>
  <c r="V44" i="5"/>
  <c r="R44" i="5"/>
  <c r="N44" i="5"/>
  <c r="N78" i="5" s="1"/>
  <c r="U44" i="5"/>
  <c r="U78" i="5" s="1"/>
  <c r="U79" i="5" s="1"/>
  <c r="Q44" i="5"/>
  <c r="Q78" i="5" s="1"/>
  <c r="Q79" i="5" s="1"/>
  <c r="M44" i="5"/>
  <c r="T44" i="5"/>
  <c r="S48" i="5"/>
  <c r="Q52" i="5"/>
  <c r="P59" i="5"/>
  <c r="X59" i="5"/>
  <c r="M61" i="5"/>
  <c r="U61" i="5"/>
  <c r="M63" i="5"/>
  <c r="U63" i="5"/>
  <c r="V70" i="5"/>
  <c r="R70" i="5"/>
  <c r="N70" i="5"/>
  <c r="U70" i="5"/>
  <c r="Q70" i="5"/>
  <c r="M70" i="5"/>
  <c r="T70" i="5"/>
  <c r="O72" i="5"/>
  <c r="W72" i="5"/>
  <c r="W74" i="5"/>
  <c r="S74" i="5"/>
  <c r="O74" i="5"/>
  <c r="V74" i="5"/>
  <c r="R74" i="5"/>
  <c r="N74" i="5"/>
  <c r="T74" i="5"/>
  <c r="W76" i="5"/>
  <c r="S76" i="5"/>
  <c r="O76" i="5"/>
  <c r="V76" i="5"/>
  <c r="R76" i="5"/>
  <c r="R78" i="5" s="1"/>
  <c r="R79" i="5" s="1"/>
  <c r="N76" i="5"/>
  <c r="T76" i="5"/>
  <c r="P51" i="5"/>
  <c r="T51" i="5"/>
  <c r="X51" i="5"/>
  <c r="P62" i="5"/>
  <c r="T62" i="5"/>
  <c r="X62" i="5"/>
  <c r="P64" i="5"/>
  <c r="T64" i="5"/>
  <c r="X64" i="5"/>
  <c r="P75" i="5"/>
  <c r="T75" i="5"/>
  <c r="X75" i="5"/>
  <c r="P77" i="5"/>
  <c r="T77" i="5"/>
  <c r="X77" i="5"/>
  <c r="P35" i="5"/>
  <c r="T35" i="5"/>
  <c r="P45" i="5"/>
  <c r="T45" i="5"/>
  <c r="P49" i="5"/>
  <c r="T49" i="5"/>
  <c r="M51" i="5"/>
  <c r="M78" i="5" s="1"/>
  <c r="Q51" i="5"/>
  <c r="P54" i="5"/>
  <c r="T54" i="5"/>
  <c r="P58" i="5"/>
  <c r="T58" i="5"/>
  <c r="M62" i="5"/>
  <c r="Q62" i="5"/>
  <c r="M64" i="5"/>
  <c r="Q64" i="5"/>
  <c r="P71" i="5"/>
  <c r="T71" i="5"/>
  <c r="M75" i="5"/>
  <c r="Q75" i="5"/>
  <c r="M77" i="5"/>
  <c r="Q77" i="5"/>
  <c r="N32" i="4"/>
  <c r="W64" i="4"/>
  <c r="S64" i="4"/>
  <c r="O64" i="4"/>
  <c r="V64" i="4"/>
  <c r="R64" i="4"/>
  <c r="N64" i="4"/>
  <c r="U64" i="4"/>
  <c r="Q64" i="4"/>
  <c r="M64" i="4"/>
  <c r="K78" i="4"/>
  <c r="K79" i="4" s="1"/>
  <c r="V45" i="4"/>
  <c r="R45" i="4"/>
  <c r="N45" i="4"/>
  <c r="Q45" i="4"/>
  <c r="W45" i="4"/>
  <c r="W51" i="4"/>
  <c r="S51" i="4"/>
  <c r="O51" i="4"/>
  <c r="V51" i="4"/>
  <c r="R51" i="4"/>
  <c r="N51" i="4"/>
  <c r="U51" i="4"/>
  <c r="Q51" i="4"/>
  <c r="M51" i="4"/>
  <c r="W59" i="4"/>
  <c r="S59" i="4"/>
  <c r="O59" i="4"/>
  <c r="V59" i="4"/>
  <c r="R59" i="4"/>
  <c r="N59" i="4"/>
  <c r="U59" i="4"/>
  <c r="Q59" i="4"/>
  <c r="M59" i="4"/>
  <c r="P64" i="4"/>
  <c r="W77" i="4"/>
  <c r="S77" i="4"/>
  <c r="O77" i="4"/>
  <c r="V77" i="4"/>
  <c r="R77" i="4"/>
  <c r="N77" i="4"/>
  <c r="U77" i="4"/>
  <c r="Q77" i="4"/>
  <c r="M77" i="4"/>
  <c r="S45" i="4"/>
  <c r="S78" i="4" s="1"/>
  <c r="S79" i="4" s="1"/>
  <c r="P51" i="4"/>
  <c r="P59" i="4"/>
  <c r="T64" i="4"/>
  <c r="P77" i="4"/>
  <c r="M32" i="4"/>
  <c r="L20" i="4"/>
  <c r="L32" i="4" s="1"/>
  <c r="N31" i="4"/>
  <c r="L31" i="4" s="1"/>
  <c r="M45" i="4"/>
  <c r="X45" i="4"/>
  <c r="X78" i="4" s="1"/>
  <c r="X79" i="4" s="1"/>
  <c r="V35" i="4"/>
  <c r="R35" i="4"/>
  <c r="N35" i="4"/>
  <c r="L78" i="4"/>
  <c r="Q35" i="4"/>
  <c r="W35" i="4"/>
  <c r="O45" i="4"/>
  <c r="O78" i="4" s="1"/>
  <c r="O79" i="4" s="1"/>
  <c r="T45" i="4"/>
  <c r="T78" i="4" s="1"/>
  <c r="T79" i="4" s="1"/>
  <c r="T51" i="4"/>
  <c r="T59" i="4"/>
  <c r="X64" i="4"/>
  <c r="W75" i="4"/>
  <c r="S75" i="4"/>
  <c r="O75" i="4"/>
  <c r="V75" i="4"/>
  <c r="R75" i="4"/>
  <c r="N75" i="4"/>
  <c r="U75" i="4"/>
  <c r="Q75" i="4"/>
  <c r="M75" i="4"/>
  <c r="T77" i="4"/>
  <c r="P47" i="4"/>
  <c r="T47" i="4"/>
  <c r="X47" i="4"/>
  <c r="P49" i="4"/>
  <c r="T49" i="4"/>
  <c r="X49" i="4"/>
  <c r="O52" i="4"/>
  <c r="S52" i="4"/>
  <c r="W52" i="4"/>
  <c r="P54" i="4"/>
  <c r="T54" i="4"/>
  <c r="X54" i="4"/>
  <c r="O58" i="4"/>
  <c r="S58" i="4"/>
  <c r="W58" i="4"/>
  <c r="P62" i="4"/>
  <c r="T62" i="4"/>
  <c r="X62" i="4"/>
  <c r="P71" i="4"/>
  <c r="T71" i="4"/>
  <c r="X71" i="4"/>
  <c r="O74" i="4"/>
  <c r="S74" i="4"/>
  <c r="W74" i="4"/>
  <c r="O76" i="4"/>
  <c r="S76" i="4"/>
  <c r="W76" i="4"/>
  <c r="M47" i="4"/>
  <c r="Q47" i="4"/>
  <c r="U47" i="4"/>
  <c r="M49" i="4"/>
  <c r="M78" i="4" s="1"/>
  <c r="Q49" i="4"/>
  <c r="U49" i="4"/>
  <c r="P52" i="4"/>
  <c r="T52" i="4"/>
  <c r="X52" i="4"/>
  <c r="M54" i="4"/>
  <c r="Q54" i="4"/>
  <c r="U54" i="4"/>
  <c r="U78" i="4" s="1"/>
  <c r="U79" i="4" s="1"/>
  <c r="P58" i="4"/>
  <c r="T58" i="4"/>
  <c r="X58" i="4"/>
  <c r="M62" i="4"/>
  <c r="Q62" i="4"/>
  <c r="U62" i="4"/>
  <c r="M71" i="4"/>
  <c r="Q71" i="4"/>
  <c r="U71" i="4"/>
  <c r="P74" i="4"/>
  <c r="T74" i="4"/>
  <c r="X74" i="4"/>
  <c r="P76" i="4"/>
  <c r="T76" i="4"/>
  <c r="X76" i="4"/>
  <c r="P44" i="4"/>
  <c r="P78" i="4" s="1"/>
  <c r="P79" i="4" s="1"/>
  <c r="T44" i="4"/>
  <c r="P46" i="4"/>
  <c r="T46" i="4"/>
  <c r="N47" i="4"/>
  <c r="R47" i="4"/>
  <c r="P48" i="4"/>
  <c r="T48" i="4"/>
  <c r="N49" i="4"/>
  <c r="R49" i="4"/>
  <c r="M52" i="4"/>
  <c r="Q52" i="4"/>
  <c r="N54" i="4"/>
  <c r="R54" i="4"/>
  <c r="M58" i="4"/>
  <c r="Q58" i="4"/>
  <c r="P61" i="4"/>
  <c r="T61" i="4"/>
  <c r="N62" i="4"/>
  <c r="R62" i="4"/>
  <c r="P70" i="4"/>
  <c r="T70" i="4"/>
  <c r="N71" i="4"/>
  <c r="R71" i="4"/>
  <c r="P72" i="4"/>
  <c r="T72" i="4"/>
  <c r="M74" i="4"/>
  <c r="Q74" i="4"/>
  <c r="M76" i="4"/>
  <c r="Q76" i="4"/>
  <c r="C37" i="2"/>
  <c r="C38" i="2"/>
  <c r="C53" i="2"/>
  <c r="C52" i="2"/>
  <c r="C48" i="2"/>
  <c r="C47" i="2"/>
  <c r="C43" i="2"/>
  <c r="C42" i="2"/>
  <c r="X14" i="1"/>
  <c r="AA5" i="1"/>
  <c r="AA12" i="1" s="1"/>
  <c r="X5" i="1"/>
  <c r="X18" i="1" s="1"/>
  <c r="R5" i="1"/>
  <c r="U14" i="1"/>
  <c r="R14" i="1"/>
  <c r="U5" i="1"/>
  <c r="U18" i="1" s="1"/>
  <c r="R12" i="1"/>
  <c r="H31" i="9" l="1"/>
  <c r="E31" i="9" s="1"/>
  <c r="E17" i="9"/>
  <c r="H6" i="7"/>
  <c r="O33" i="22"/>
  <c r="K33" i="22"/>
  <c r="L50" i="22" s="1"/>
  <c r="AE33" i="22"/>
  <c r="AA33" i="22"/>
  <c r="AB50" i="22" s="1"/>
  <c r="G33" i="22"/>
  <c r="W33" i="22"/>
  <c r="S33" i="22"/>
  <c r="P7" i="12"/>
  <c r="P11" i="12"/>
  <c r="AD6" i="10"/>
  <c r="C13" i="12" s="1"/>
  <c r="Z6" i="10"/>
  <c r="C12" i="12" s="1"/>
  <c r="V6" i="10"/>
  <c r="C11" i="12" s="1"/>
  <c r="R6" i="10"/>
  <c r="C10" i="12" s="1"/>
  <c r="N6" i="10"/>
  <c r="C9" i="12" s="1"/>
  <c r="J6" i="10"/>
  <c r="C8" i="12" s="1"/>
  <c r="F59" i="10"/>
  <c r="F6" i="10"/>
  <c r="H44" i="9"/>
  <c r="H59" i="9" s="1"/>
  <c r="K59" i="9"/>
  <c r="K44" i="7"/>
  <c r="K25" i="7"/>
  <c r="L25" i="7" s="1"/>
  <c r="K59" i="7"/>
  <c r="E23" i="2"/>
  <c r="F23" i="2" s="1"/>
  <c r="F12" i="2"/>
  <c r="F10" i="2"/>
  <c r="F17" i="2"/>
  <c r="E31" i="2"/>
  <c r="K25" i="9"/>
  <c r="L25" i="9" s="1"/>
  <c r="L12" i="9"/>
  <c r="O79" i="8"/>
  <c r="E23" i="9"/>
  <c r="W78" i="8"/>
  <c r="W79" i="8" s="1"/>
  <c r="S78" i="8"/>
  <c r="S79" i="8" s="1"/>
  <c r="M78" i="8"/>
  <c r="R78" i="8"/>
  <c r="R79" i="8" s="1"/>
  <c r="U78" i="8"/>
  <c r="U79" i="8" s="1"/>
  <c r="P78" i="8"/>
  <c r="P79" i="8" s="1"/>
  <c r="N78" i="8"/>
  <c r="Q78" i="8"/>
  <c r="Q79" i="8" s="1"/>
  <c r="X78" i="8"/>
  <c r="X79" i="8" s="1"/>
  <c r="T78" i="8"/>
  <c r="T79" i="8" s="1"/>
  <c r="V79" i="8"/>
  <c r="H59" i="7"/>
  <c r="E25" i="2"/>
  <c r="F25" i="2" s="1"/>
  <c r="H21" i="6"/>
  <c r="E21" i="6"/>
  <c r="M79" i="5"/>
  <c r="S79" i="5"/>
  <c r="V79" i="5"/>
  <c r="T78" i="5"/>
  <c r="T79" i="5" s="1"/>
  <c r="K79" i="5"/>
  <c r="N79" i="5"/>
  <c r="P78" i="5"/>
  <c r="P79" i="5" s="1"/>
  <c r="L79" i="4"/>
  <c r="N78" i="4"/>
  <c r="M80" i="4" s="1"/>
  <c r="W78" i="4"/>
  <c r="W79" i="4" s="1"/>
  <c r="R78" i="4"/>
  <c r="R79" i="4" s="1"/>
  <c r="M79" i="4"/>
  <c r="Q78" i="4"/>
  <c r="Q79" i="4" s="1"/>
  <c r="V78" i="4"/>
  <c r="V79" i="4" s="1"/>
  <c r="C39" i="2"/>
  <c r="K39" i="2" s="1"/>
  <c r="C54" i="2"/>
  <c r="C49" i="2"/>
  <c r="C44" i="2"/>
  <c r="I17" i="2"/>
  <c r="L17" i="2"/>
  <c r="L6" i="2"/>
  <c r="I6" i="2"/>
  <c r="S14" i="1"/>
  <c r="AB14" i="1"/>
  <c r="AB5" i="1"/>
  <c r="AA18" i="1"/>
  <c r="Y14" i="1"/>
  <c r="X12" i="1"/>
  <c r="Y5" i="1"/>
  <c r="V14" i="1"/>
  <c r="S5" i="1"/>
  <c r="R18" i="1"/>
  <c r="S12" i="1"/>
  <c r="U12" i="1"/>
  <c r="V5" i="1"/>
  <c r="O14" i="1"/>
  <c r="O5" i="1"/>
  <c r="L5" i="1"/>
  <c r="L18" i="1" s="1"/>
  <c r="L14" i="1"/>
  <c r="I5" i="1"/>
  <c r="I26" i="1" s="1"/>
  <c r="H6" i="9" l="1"/>
  <c r="H29" i="7"/>
  <c r="X33" i="22"/>
  <c r="W36" i="22"/>
  <c r="X36" i="22" s="1"/>
  <c r="W56" i="22"/>
  <c r="W52" i="22"/>
  <c r="X44" i="22"/>
  <c r="X46" i="22"/>
  <c r="X42" i="22"/>
  <c r="X37" i="22"/>
  <c r="X48" i="22"/>
  <c r="X50" i="22"/>
  <c r="AA56" i="22"/>
  <c r="AA36" i="22"/>
  <c r="AB36" i="22" s="1"/>
  <c r="AA52" i="22"/>
  <c r="AB33" i="22"/>
  <c r="AB48" i="22"/>
  <c r="AB46" i="22"/>
  <c r="AB37" i="22"/>
  <c r="AB44" i="22"/>
  <c r="AB42" i="22"/>
  <c r="K56" i="22"/>
  <c r="K52" i="22"/>
  <c r="K36" i="22"/>
  <c r="L36" i="22" s="1"/>
  <c r="L33" i="22"/>
  <c r="L37" i="22"/>
  <c r="L44" i="22"/>
  <c r="L42" i="22"/>
  <c r="L48" i="22"/>
  <c r="L46" i="22"/>
  <c r="AF33" i="22"/>
  <c r="AE36" i="22"/>
  <c r="AF36" i="22" s="1"/>
  <c r="AE56" i="22"/>
  <c r="AE52" i="22"/>
  <c r="AF44" i="22"/>
  <c r="AF48" i="22"/>
  <c r="AF37" i="22"/>
  <c r="AF42" i="22"/>
  <c r="AF46" i="22"/>
  <c r="S36" i="22"/>
  <c r="T36" i="22" s="1"/>
  <c r="S52" i="22"/>
  <c r="S56" i="22"/>
  <c r="T33" i="22"/>
  <c r="T48" i="22"/>
  <c r="T46" i="22"/>
  <c r="T44" i="22"/>
  <c r="T42" i="22"/>
  <c r="T37" i="22"/>
  <c r="H33" i="22"/>
  <c r="G56" i="22"/>
  <c r="G52" i="22"/>
  <c r="G36" i="22"/>
  <c r="H36" i="22" s="1"/>
  <c r="H37" i="22"/>
  <c r="H44" i="22"/>
  <c r="H42" i="22"/>
  <c r="H48" i="22"/>
  <c r="H46" i="22"/>
  <c r="P33" i="22"/>
  <c r="O36" i="22"/>
  <c r="P36" i="22" s="1"/>
  <c r="O56" i="22"/>
  <c r="O52" i="22"/>
  <c r="P37" i="22"/>
  <c r="P42" i="22"/>
  <c r="P48" i="22"/>
  <c r="P46" i="22"/>
  <c r="P44" i="22"/>
  <c r="T50" i="22"/>
  <c r="H50" i="22"/>
  <c r="AF50" i="22"/>
  <c r="P50" i="22"/>
  <c r="G23" i="10"/>
  <c r="C7" i="12"/>
  <c r="AE6" i="10"/>
  <c r="AD29" i="10"/>
  <c r="O13" i="12" s="1"/>
  <c r="AD25" i="10"/>
  <c r="L13" i="12" s="1"/>
  <c r="AD9" i="10"/>
  <c r="AE19" i="10"/>
  <c r="AE17" i="10"/>
  <c r="AE10" i="10"/>
  <c r="AE21" i="10"/>
  <c r="AE15" i="10"/>
  <c r="AE23" i="10"/>
  <c r="AA6" i="10"/>
  <c r="Z29" i="10"/>
  <c r="O12" i="12" s="1"/>
  <c r="Z9" i="10"/>
  <c r="Z25" i="10"/>
  <c r="L12" i="12" s="1"/>
  <c r="AA19" i="10"/>
  <c r="AA17" i="10"/>
  <c r="AA10" i="10"/>
  <c r="AA21" i="10"/>
  <c r="AA15" i="10"/>
  <c r="AA23" i="10"/>
  <c r="W6" i="10"/>
  <c r="V29" i="10"/>
  <c r="V25" i="10"/>
  <c r="V9" i="10"/>
  <c r="W19" i="10"/>
  <c r="W17" i="10"/>
  <c r="W10" i="10"/>
  <c r="W21" i="10"/>
  <c r="W15" i="10"/>
  <c r="W23" i="10"/>
  <c r="S6" i="10"/>
  <c r="R25" i="10"/>
  <c r="L10" i="12" s="1"/>
  <c r="R29" i="10"/>
  <c r="O10" i="12" s="1"/>
  <c r="R9" i="10"/>
  <c r="S10" i="10"/>
  <c r="S17" i="10"/>
  <c r="S19" i="10"/>
  <c r="S15" i="10"/>
  <c r="S21" i="10"/>
  <c r="S23" i="10"/>
  <c r="O6" i="10"/>
  <c r="N25" i="10"/>
  <c r="L9" i="12" s="1"/>
  <c r="N9" i="10"/>
  <c r="N29" i="10"/>
  <c r="O9" i="12" s="1"/>
  <c r="O19" i="10"/>
  <c r="O17" i="10"/>
  <c r="O10" i="10"/>
  <c r="O21" i="10"/>
  <c r="O15" i="10"/>
  <c r="O23" i="10"/>
  <c r="K15" i="10"/>
  <c r="K17" i="10"/>
  <c r="K19" i="10"/>
  <c r="K10" i="10"/>
  <c r="K21" i="10"/>
  <c r="K23" i="10"/>
  <c r="K6" i="10"/>
  <c r="J29" i="10"/>
  <c r="O8" i="12" s="1"/>
  <c r="J25" i="10"/>
  <c r="L8" i="12" s="1"/>
  <c r="J9" i="10"/>
  <c r="F9" i="10"/>
  <c r="G6" i="10"/>
  <c r="F29" i="10"/>
  <c r="O7" i="12" s="1"/>
  <c r="F25" i="10"/>
  <c r="L7" i="12" s="1"/>
  <c r="G17" i="10"/>
  <c r="G19" i="10"/>
  <c r="G10" i="10"/>
  <c r="G21" i="10"/>
  <c r="G15" i="10"/>
  <c r="M80" i="8"/>
  <c r="L12" i="2"/>
  <c r="F21" i="6"/>
  <c r="E23" i="6"/>
  <c r="F23" i="6" s="1"/>
  <c r="I21" i="6"/>
  <c r="H23" i="6"/>
  <c r="I23" i="6" s="1"/>
  <c r="L80" i="5"/>
  <c r="N79" i="4"/>
  <c r="L80" i="4" s="1"/>
  <c r="L81" i="4" s="1"/>
  <c r="H39" i="2"/>
  <c r="K49" i="2"/>
  <c r="H49" i="2"/>
  <c r="K54" i="2"/>
  <c r="H54" i="2"/>
  <c r="K44" i="2"/>
  <c r="H44" i="2"/>
  <c r="P14" i="1"/>
  <c r="P5" i="1"/>
  <c r="O12" i="1"/>
  <c r="O18" i="1"/>
  <c r="Y12" i="1"/>
  <c r="M14" i="1"/>
  <c r="L12" i="1"/>
  <c r="M12" i="1" s="1"/>
  <c r="M5" i="1"/>
  <c r="O39" i="22" l="1"/>
  <c r="P39" i="22" s="1"/>
  <c r="AE39" i="22"/>
  <c r="AF39" i="22" s="1"/>
  <c r="K39" i="22"/>
  <c r="L39" i="22" s="1"/>
  <c r="AA39" i="22"/>
  <c r="AB39" i="22" s="1"/>
  <c r="S39" i="22"/>
  <c r="T39" i="22" s="1"/>
  <c r="G39" i="22"/>
  <c r="H39" i="22" s="1"/>
  <c r="W39" i="22"/>
  <c r="X39" i="22" s="1"/>
  <c r="S9" i="10"/>
  <c r="D10" i="12"/>
  <c r="AA9" i="10"/>
  <c r="D12" i="12"/>
  <c r="K9" i="10"/>
  <c r="D8" i="12"/>
  <c r="AE9" i="10"/>
  <c r="D13" i="12"/>
  <c r="F12" i="10"/>
  <c r="D7" i="12"/>
  <c r="O9" i="10"/>
  <c r="D9" i="12"/>
  <c r="L11" i="12"/>
  <c r="W9" i="10"/>
  <c r="D11" i="12"/>
  <c r="O11" i="12"/>
  <c r="AD12" i="10"/>
  <c r="Z12" i="10"/>
  <c r="R12" i="10"/>
  <c r="V12" i="10"/>
  <c r="N12" i="10"/>
  <c r="J12" i="10"/>
  <c r="G9" i="10"/>
  <c r="K59" i="2"/>
  <c r="H59" i="2"/>
  <c r="I19" i="2"/>
  <c r="S12" i="10" l="1"/>
  <c r="F10" i="12"/>
  <c r="K12" i="10"/>
  <c r="F8" i="12"/>
  <c r="AA12" i="10"/>
  <c r="F12" i="12"/>
  <c r="AE12" i="10"/>
  <c r="F13" i="12"/>
  <c r="G12" i="10"/>
  <c r="F7" i="12"/>
  <c r="O12" i="10"/>
  <c r="F9" i="12"/>
  <c r="W12" i="10"/>
  <c r="F11" i="12"/>
  <c r="H23" i="2"/>
  <c r="H25" i="2" s="1"/>
  <c r="L19" i="2"/>
  <c r="K25" i="2"/>
  <c r="L25" i="2" l="1"/>
  <c r="L23" i="2"/>
  <c r="I23" i="2"/>
  <c r="I25" i="2"/>
  <c r="D50" i="1"/>
  <c r="D49" i="1"/>
  <c r="D45" i="1"/>
  <c r="D44" i="1"/>
  <c r="D40" i="1"/>
  <c r="D39" i="1"/>
  <c r="D35" i="1"/>
  <c r="D34" i="1"/>
  <c r="I18" i="1"/>
  <c r="J18" i="1" s="1"/>
  <c r="F18" i="1"/>
  <c r="I16" i="1"/>
  <c r="F16" i="1"/>
  <c r="I14" i="1"/>
  <c r="F14" i="1"/>
  <c r="I12" i="1"/>
  <c r="J12" i="1" s="1"/>
  <c r="F12" i="1"/>
  <c r="F5" i="1"/>
  <c r="F26" i="1" s="1"/>
  <c r="D46" i="1" l="1"/>
  <c r="R46" i="1" s="1"/>
  <c r="D51" i="1"/>
  <c r="X51" i="1" s="1"/>
  <c r="AA46" i="1"/>
  <c r="D41" i="1"/>
  <c r="U51" i="1"/>
  <c r="D36" i="1"/>
  <c r="X36" i="1" s="1"/>
  <c r="I28" i="1"/>
  <c r="J14" i="1"/>
  <c r="G14" i="1"/>
  <c r="G12" i="1"/>
  <c r="G16" i="1"/>
  <c r="J16" i="1"/>
  <c r="G18" i="1"/>
  <c r="F20" i="1"/>
  <c r="F22" i="1" s="1"/>
  <c r="G22" i="1" s="1"/>
  <c r="I20" i="1"/>
  <c r="J20" i="1" s="1"/>
  <c r="F28" i="1"/>
  <c r="X46" i="1" l="1"/>
  <c r="U46" i="1"/>
  <c r="L46" i="1"/>
  <c r="O46" i="1"/>
  <c r="AA51" i="1"/>
  <c r="R51" i="1"/>
  <c r="L51" i="1"/>
  <c r="O51" i="1"/>
  <c r="U41" i="1"/>
  <c r="O41" i="1"/>
  <c r="X41" i="1"/>
  <c r="X16" i="1" s="1"/>
  <c r="R41" i="1"/>
  <c r="L41" i="1"/>
  <c r="AA41" i="1"/>
  <c r="G20" i="1"/>
  <c r="L36" i="1"/>
  <c r="O36" i="1"/>
  <c r="U36" i="1"/>
  <c r="R36" i="1"/>
  <c r="AA36" i="1"/>
  <c r="I22" i="1"/>
  <c r="J22" i="1" s="1"/>
  <c r="L16" i="1" l="1"/>
  <c r="L20" i="1" s="1"/>
  <c r="U16" i="1"/>
  <c r="R16" i="1"/>
  <c r="R20" i="1" s="1"/>
  <c r="O16" i="1"/>
  <c r="P16" i="1" s="1"/>
  <c r="Y16" i="1"/>
  <c r="X20" i="1"/>
  <c r="V16" i="1"/>
  <c r="U20" i="1"/>
  <c r="M16" i="1"/>
  <c r="AA16" i="1"/>
  <c r="O20" i="1" l="1"/>
  <c r="S16" i="1"/>
  <c r="P20" i="1"/>
  <c r="O22" i="1"/>
  <c r="P22" i="1" s="1"/>
  <c r="V20" i="1"/>
  <c r="U22" i="1"/>
  <c r="V22" i="1" s="1"/>
  <c r="S20" i="1"/>
  <c r="R22" i="1"/>
  <c r="S22" i="1" s="1"/>
  <c r="M20" i="1"/>
  <c r="L22" i="1"/>
  <c r="M22" i="1" s="1"/>
  <c r="Y20" i="1"/>
  <c r="X22" i="1"/>
  <c r="Y22" i="1" s="1"/>
  <c r="AB16" i="1"/>
  <c r="AA20" i="1"/>
  <c r="AB20" i="1" l="1"/>
  <c r="AA22" i="1"/>
  <c r="AB22" i="1" s="1"/>
  <c r="M20" i="8" l="1"/>
  <c r="N31" i="8" l="1"/>
  <c r="N32" i="8"/>
  <c r="N79" i="8" s="1"/>
  <c r="M31" i="8"/>
  <c r="M32" i="8"/>
  <c r="M79" i="8" s="1"/>
  <c r="E10" i="7"/>
  <c r="L80" i="8" l="1"/>
  <c r="I10" i="9"/>
  <c r="P13" i="9"/>
  <c r="E10" i="9"/>
  <c r="H29" i="9" l="1"/>
  <c r="E29" i="9" s="1"/>
  <c r="I21" i="9"/>
  <c r="I19" i="9"/>
  <c r="N6" i="9"/>
  <c r="I23" i="9"/>
  <c r="I15" i="9"/>
  <c r="P11" i="9"/>
  <c r="E6" i="9"/>
  <c r="I17" i="9"/>
  <c r="I6" i="9"/>
  <c r="E12" i="9" l="1"/>
  <c r="L10" i="8"/>
  <c r="L28" i="8" s="1"/>
  <c r="E6" i="7"/>
  <c r="I10" i="7"/>
  <c r="H25" i="7"/>
  <c r="I19" i="7"/>
  <c r="I15" i="7"/>
  <c r="I6" i="7"/>
  <c r="I17" i="7"/>
  <c r="I21" i="7"/>
  <c r="I23" i="7"/>
  <c r="P9" i="7"/>
  <c r="H9" i="7"/>
  <c r="P26" i="7" l="1"/>
  <c r="E29" i="7"/>
  <c r="P25" i="7"/>
  <c r="P27" i="7" s="1"/>
  <c r="F15" i="7"/>
  <c r="E9" i="7"/>
  <c r="F9" i="7" s="1"/>
  <c r="H9" i="9"/>
  <c r="Z84" i="8"/>
  <c r="H25" i="9"/>
  <c r="E25" i="9" s="1"/>
  <c r="AG10" i="8"/>
  <c r="L20" i="8"/>
  <c r="L81" i="8" s="1"/>
  <c r="I9" i="7"/>
  <c r="H12" i="7"/>
  <c r="I12" i="7" s="1"/>
  <c r="P10" i="7"/>
  <c r="P14" i="7" s="1"/>
  <c r="L31" i="8"/>
  <c r="F6" i="7"/>
  <c r="F19" i="7"/>
  <c r="F17" i="7"/>
  <c r="F10" i="7"/>
  <c r="F21" i="7"/>
  <c r="F23" i="7"/>
  <c r="P12" i="9" l="1"/>
  <c r="P15" i="9" s="1"/>
  <c r="Q14" i="9" s="1"/>
  <c r="H12" i="9"/>
  <c r="I12" i="9" s="1"/>
  <c r="E9" i="9"/>
  <c r="E12" i="7"/>
  <c r="F12" i="7" s="1"/>
  <c r="L32" i="8"/>
  <c r="L79" i="8" s="1"/>
  <c r="Z83" i="8" s="1"/>
  <c r="Z85" i="8" s="1"/>
  <c r="I9" i="9"/>
  <c r="E25" i="7" l="1"/>
  <c r="F25" i="7" s="1"/>
</calcChain>
</file>

<file path=xl/comments1.xml><?xml version="1.0" encoding="utf-8"?>
<comments xmlns="http://schemas.openxmlformats.org/spreadsheetml/2006/main">
  <authors>
    <author>Keelan Erhard</author>
  </authors>
  <commentList>
    <comment ref="O28" authorId="0" shapeId="0">
      <text>
        <r>
          <rPr>
            <b/>
            <sz val="9"/>
            <color indexed="81"/>
            <rFont val="Tahoma"/>
            <family val="2"/>
          </rPr>
          <t>Keelan Erhard:</t>
        </r>
        <r>
          <rPr>
            <sz val="9"/>
            <color indexed="81"/>
            <rFont val="Tahoma"/>
            <family val="2"/>
          </rPr>
          <t xml:space="preserve">
Ed's Average Occupancy Cost</t>
        </r>
      </text>
    </comment>
    <comment ref="U28" authorId="0" shapeId="0">
      <text>
        <r>
          <rPr>
            <b/>
            <sz val="9"/>
            <color rgb="FF000000"/>
            <rFont val="Tahoma"/>
            <family val="2"/>
          </rPr>
          <t>Keelan Erhard: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McKinley Mall Plaza, $18/sf + $7/sf (Ed's average landlord/utility charges)</t>
        </r>
      </text>
    </comment>
    <comment ref="AA28" authorId="0" shapeId="0">
      <text>
        <r>
          <rPr>
            <b/>
            <sz val="9"/>
            <color rgb="FF000000"/>
            <rFont val="Tahoma"/>
            <family val="2"/>
          </rPr>
          <t>Keelan Erhard: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Guess based on McKinley Mall value</t>
        </r>
      </text>
    </comment>
  </commentList>
</comments>
</file>

<file path=xl/sharedStrings.xml><?xml version="1.0" encoding="utf-8"?>
<sst xmlns="http://schemas.openxmlformats.org/spreadsheetml/2006/main" count="845" uniqueCount="201">
  <si>
    <t>Benchmark</t>
  </si>
  <si>
    <t>North Store</t>
  </si>
  <si>
    <t>South Store</t>
  </si>
  <si>
    <t>% of Revenue</t>
  </si>
  <si>
    <t>Mar'15 -Feb'20</t>
  </si>
  <si>
    <t>Revenue</t>
  </si>
  <si>
    <t>Expense</t>
  </si>
  <si>
    <t>Marketing</t>
  </si>
  <si>
    <t>Occupancy</t>
  </si>
  <si>
    <t>Payroll Salary &amp; Wages</t>
  </si>
  <si>
    <t>Other Expense</t>
  </si>
  <si>
    <t>Total Expense</t>
  </si>
  <si>
    <t>Net Profit</t>
  </si>
  <si>
    <t>Square Footage</t>
  </si>
  <si>
    <t>Revenue Per Square Footage</t>
  </si>
  <si>
    <t>Occupancy Cost Per Square Footage</t>
  </si>
  <si>
    <t>N/A</t>
  </si>
  <si>
    <t>Payroll Assumptions</t>
  </si>
  <si>
    <t>Director</t>
  </si>
  <si>
    <t>Salary</t>
  </si>
  <si>
    <t>Taxes &amp; Benefits</t>
  </si>
  <si>
    <t>Peo Fees</t>
  </si>
  <si>
    <t>Manager</t>
  </si>
  <si>
    <t>Team Member</t>
  </si>
  <si>
    <t>Donation Coordinator</t>
  </si>
  <si>
    <t>Scenario 1</t>
  </si>
  <si>
    <t>Annualized</t>
  </si>
  <si>
    <t>Store 1 (South ReStore)</t>
  </si>
  <si>
    <t>Store 2 (New OK location)</t>
  </si>
  <si>
    <t>Store 1 (North ReStore)</t>
  </si>
  <si>
    <t>Scenario 2</t>
  </si>
  <si>
    <t>Store 2 (New GREAT location, Blasdell)</t>
  </si>
  <si>
    <t>Scenario 3</t>
  </si>
  <si>
    <t>Revenue Per Square Foot</t>
  </si>
  <si>
    <t># of FTE</t>
  </si>
  <si>
    <t>North ReStore</t>
  </si>
  <si>
    <t>South ReStore</t>
  </si>
  <si>
    <t># FTE</t>
  </si>
  <si>
    <t>5-Year Average Numbers</t>
  </si>
  <si>
    <t>Store 2 (New GREAT location, Northtowns)</t>
  </si>
  <si>
    <t>COGS</t>
  </si>
  <si>
    <t>Gross Profit</t>
  </si>
  <si>
    <t>CURRENT STORE SCENARIO FISCAL YR 2021/2022 BUDGET</t>
  </si>
  <si>
    <t>COGS (Net of Other Income)</t>
  </si>
  <si>
    <t>ReStore North</t>
  </si>
  <si>
    <t>Statement of Activities</t>
  </si>
  <si>
    <t xml:space="preserve"> </t>
  </si>
  <si>
    <t>Fiscal Year 2021/22 Budget</t>
  </si>
  <si>
    <t>Actual FYTD</t>
  </si>
  <si>
    <t>Budget to FYE</t>
  </si>
  <si>
    <t>Forecast to FYE</t>
  </si>
  <si>
    <t>18/19 Budget</t>
  </si>
  <si>
    <t>Variance Forecast to Budget</t>
  </si>
  <si>
    <t>Total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</si>
  <si>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</si>
  <si>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</si>
  <si>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</si>
  <si>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</si>
  <si>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</si>
  <si>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</si>
  <si>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</si>
  <si>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</si>
  <si>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</si>
  <si>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</si>
  <si>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</si>
  <si>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</si>
  <si>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Income</t>
  </si>
  <si>
    <t>Sales/Transfers to Homeowner</t>
  </si>
  <si>
    <t>Sales/Transfers to Partner Agencies</t>
  </si>
  <si>
    <t>Gain on Sale of Mortgages</t>
  </si>
  <si>
    <t>ReStore Fundraising</t>
  </si>
  <si>
    <t>Prior 12 months/pre covid</t>
  </si>
  <si>
    <t>Grants</t>
  </si>
  <si>
    <t>Contributions</t>
  </si>
  <si>
    <t>PPP Loan Forgivness</t>
  </si>
  <si>
    <t>Mortgage Program Income</t>
  </si>
  <si>
    <t>Home Repairs</t>
  </si>
  <si>
    <t>Gifts in Kind</t>
  </si>
  <si>
    <t>Fundraising Event Income</t>
  </si>
  <si>
    <t>Investment &amp; Other Income</t>
  </si>
  <si>
    <t>Vendor Credit NY Sales Tax</t>
  </si>
  <si>
    <t>Lease Revenue</t>
  </si>
  <si>
    <t>Total Income</t>
  </si>
  <si>
    <t>Cost of Goods Sold</t>
  </si>
  <si>
    <t>Direct Construction Costs</t>
  </si>
  <si>
    <t>Interest Subsidy (SONYMA)</t>
  </si>
  <si>
    <t>Discount on Mortgages Issued</t>
  </si>
  <si>
    <t>Grant Fees</t>
  </si>
  <si>
    <t>Critical Home Repair</t>
  </si>
  <si>
    <t>Direct Fundraising Expense</t>
  </si>
  <si>
    <t>Credit Card Fees</t>
  </si>
  <si>
    <t>Average of 1.3% of Gross Sales</t>
  </si>
  <si>
    <t>ReStore Merchandise Purchase</t>
  </si>
  <si>
    <t>Flooring sales</t>
  </si>
  <si>
    <t>Other Direct Program Expense</t>
  </si>
  <si>
    <t>All other direct expenses</t>
  </si>
  <si>
    <t>Total COGS</t>
  </si>
  <si>
    <t>Advertising &amp; Marketing</t>
  </si>
  <si>
    <t>Advertising</t>
  </si>
  <si>
    <t>Supporting Worksheet Expenses</t>
  </si>
  <si>
    <t>Printing</t>
  </si>
  <si>
    <t>Community Outreach</t>
  </si>
  <si>
    <t>Advocacy Activities</t>
  </si>
  <si>
    <t>Affiliate Fees &amp; Tithes</t>
  </si>
  <si>
    <t>Bad Debt Expense</t>
  </si>
  <si>
    <t>Credit Report Fees</t>
  </si>
  <si>
    <t>Dues &amp;Subscriptions</t>
  </si>
  <si>
    <t>Facilities</t>
  </si>
  <si>
    <t>Cell Phones/Telephone</t>
  </si>
  <si>
    <t>Information Technology</t>
  </si>
  <si>
    <t>Maintenance &amp; Repair</t>
  </si>
  <si>
    <t>Rent</t>
  </si>
  <si>
    <t>Trash Pickup</t>
  </si>
  <si>
    <t>Utilities</t>
  </si>
  <si>
    <t>Insurance</t>
  </si>
  <si>
    <t>Auto</t>
  </si>
  <si>
    <t>Commercial Package</t>
  </si>
  <si>
    <t>Licenses &amp; Permits</t>
  </si>
  <si>
    <t>Thrift store pertmit, Other</t>
  </si>
  <si>
    <t>Payroll Allocation by Department Spreedsheet</t>
  </si>
  <si>
    <t>Americorp</t>
  </si>
  <si>
    <t>Temporary Help</t>
  </si>
  <si>
    <t>Payroll Taxes &amp; Benefits</t>
  </si>
  <si>
    <t>Supporting Worksheet Labor</t>
  </si>
  <si>
    <t>Employer Taxes</t>
  </si>
  <si>
    <t>Employer Paid Benefits</t>
  </si>
  <si>
    <t>Employee Appreciation</t>
  </si>
  <si>
    <t>Payroll Workers Comp</t>
  </si>
  <si>
    <t>PEO Fees</t>
  </si>
  <si>
    <t>Postage</t>
  </si>
  <si>
    <t>Professional Development</t>
  </si>
  <si>
    <t>Travel Expense</t>
  </si>
  <si>
    <t>Staff travel</t>
  </si>
  <si>
    <t>Seminar, Education Expenses</t>
  </si>
  <si>
    <t>Staff education</t>
  </si>
  <si>
    <t>Professional Fees</t>
  </si>
  <si>
    <t>Service Fees</t>
  </si>
  <si>
    <t>Supplies/Equipment</t>
  </si>
  <si>
    <t>Tools, Small Equipment, Furniture</t>
  </si>
  <si>
    <t>Equipment Repair</t>
  </si>
  <si>
    <t>Supplies</t>
  </si>
  <si>
    <t>Vehicle Expense</t>
  </si>
  <si>
    <t>Fuel</t>
  </si>
  <si>
    <t>Parking</t>
  </si>
  <si>
    <t>Repairs &amp; Maintenance</t>
  </si>
  <si>
    <t>Volunteer Appreciation</t>
  </si>
  <si>
    <t>Net Ordinary Income</t>
  </si>
  <si>
    <t>ReStore South</t>
  </si>
  <si>
    <t>Prior 12 months</t>
  </si>
  <si>
    <t>Supporting Worksheet Expense</t>
  </si>
  <si>
    <t>Parking/Other</t>
  </si>
  <si>
    <t>Adjustment to Budget</t>
  </si>
  <si>
    <t>Totals</t>
  </si>
  <si>
    <t>Current North ReStore</t>
  </si>
  <si>
    <t>License &amp; Permits</t>
  </si>
  <si>
    <t>Credit Card Fees 1.3% of Sales</t>
  </si>
  <si>
    <t>Net Profit %</t>
  </si>
  <si>
    <t>Row Labels</t>
  </si>
  <si>
    <t>Grand Total</t>
  </si>
  <si>
    <t>Sum of Net Profit</t>
  </si>
  <si>
    <t xml:space="preserve"> - Revenue</t>
  </si>
  <si>
    <t>Sum of Total Expense</t>
  </si>
  <si>
    <t>Sum of Credit Card Fees 1.3% of Sales</t>
  </si>
  <si>
    <t>Sum of COGS (Net of Other Income)</t>
  </si>
  <si>
    <t>HABITAT BUFFALO RESTORE ANALYSIS</t>
  </si>
  <si>
    <t>FACTS:</t>
  </si>
  <si>
    <t>ASSUMPTIONS:</t>
  </si>
  <si>
    <t>FEASIBILITY:</t>
  </si>
  <si>
    <t>•</t>
  </si>
  <si>
    <t>Buffalo ReStore revenue has declined in recent years</t>
  </si>
  <si>
    <t>Options regarding the Buffalo North ReStore have been explored</t>
  </si>
  <si>
    <t>An opportunity exists to lease 15,000 square feet of a building on Niagara Falls Boulevard</t>
  </si>
  <si>
    <t>The low end of the lease rate is $10 per square foot</t>
  </si>
  <si>
    <t>Common area maintenance, taxes and insurance costs are estimated to be $2.08 per square foot</t>
  </si>
  <si>
    <t>Utilities and janitorial costs are estimated to be $2.25 per square foot</t>
  </si>
  <si>
    <t>The FY 2021/2022 Budget for the current North ReStore estimates net profit at 10% of sales</t>
  </si>
  <si>
    <t>Additional analysis showing required revenue levels in order to achieve a net profit percentage of between 15% and 40%</t>
  </si>
  <si>
    <t>See “Dashboard” for summary of analysis</t>
  </si>
  <si>
    <t>Niagara Falls Blvd</t>
  </si>
  <si>
    <t>Consolidated Stores</t>
  </si>
  <si>
    <t>Revenue - Forecasted</t>
  </si>
  <si>
    <t xml:space="preserve">CONSOLIDATED NIAGARA FALLS BLVD &amp; SOUTH STORE SCENARIO </t>
  </si>
  <si>
    <t xml:space="preserve">Variance </t>
  </si>
  <si>
    <t>CHANGE REQUIRED BY NIAGARA FALLS BLVD STORE  TO MAINTAIN A 10% PROFIT LEVEL</t>
  </si>
  <si>
    <t>Profit % Desired</t>
  </si>
  <si>
    <t>NFB</t>
  </si>
  <si>
    <t>South</t>
  </si>
  <si>
    <t>%</t>
  </si>
  <si>
    <t>per Ed email</t>
  </si>
  <si>
    <t>Trash &amp; Utilities</t>
  </si>
  <si>
    <t>CAM, tax insurance</t>
  </si>
  <si>
    <t>Other 22 Budget Cost</t>
  </si>
  <si>
    <t>22 budget</t>
  </si>
  <si>
    <t>Change</t>
  </si>
  <si>
    <t xml:space="preserve"> =. hard coded amounts by djw</t>
  </si>
  <si>
    <t>to get to Ed amounts</t>
  </si>
  <si>
    <t>Total expenses, including the impact on COGS, would increase by approximately $155K</t>
  </si>
  <si>
    <t>Other occupancy costs will be based upon the Fiscal Year 2021/2022 Budget at $.48 per square foot</t>
  </si>
  <si>
    <t>Resulting in a net incremental profit of $17K,  going from $37Kto $54K</t>
  </si>
  <si>
    <t>In order to cover the increase in occupancy costs and to achieve a 10% profit level, revenue would have to increase by approximately $172K</t>
  </si>
  <si>
    <t>NIAGARA FALLS BLVD STORE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</si>
</sst>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8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rgb="FF00008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008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80"/>
      <name val="Arial"/>
      <family val="2"/>
    </font>
    <font>
      <b/>
      <sz val="16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E4D6"/>
        <bgColor rgb="FF00000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4">
    <xf numFmtId="0" fontId="0" fillId="0" borderId="0" xfId="0"/>
    <xf numFmtId="49" fontId="3" fillId="0" borderId="0" xfId="0" applyNumberFormat="1" applyFont="1"/>
    <xf numFmtId="49" fontId="4" fillId="0" borderId="0" xfId="0" applyNumberFormat="1" applyFont="1"/>
    <xf numFmtId="0" fontId="5" fillId="2" borderId="0" xfId="0" applyFont="1" applyFill="1" applyAlignment="1">
      <alignment horizontal="center"/>
    </xf>
    <xf numFmtId="0" fontId="5" fillId="0" borderId="0" xfId="0" applyFont="1"/>
    <xf numFmtId="49" fontId="5" fillId="0" borderId="0" xfId="0" applyNumberFormat="1" applyFont="1" applyBorder="1"/>
    <xf numFmtId="49" fontId="4" fillId="0" borderId="0" xfId="0" applyNumberFormat="1" applyFont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6" fillId="0" borderId="0" xfId="0" applyFont="1"/>
    <xf numFmtId="49" fontId="4" fillId="3" borderId="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9" fontId="6" fillId="0" borderId="1" xfId="3" applyFont="1" applyBorder="1"/>
    <xf numFmtId="9" fontId="6" fillId="0" borderId="0" xfId="3" applyFont="1"/>
    <xf numFmtId="164" fontId="6" fillId="0" borderId="1" xfId="1" applyNumberFormat="1" applyFont="1" applyBorder="1" applyAlignment="1">
      <alignment horizontal="center"/>
    </xf>
    <xf numFmtId="9" fontId="6" fillId="0" borderId="1" xfId="3" applyFont="1" applyBorder="1" applyAlignment="1">
      <alignment horizontal="center"/>
    </xf>
    <xf numFmtId="39" fontId="7" fillId="0" borderId="0" xfId="0" applyNumberFormat="1" applyFont="1" applyBorder="1"/>
    <xf numFmtId="164" fontId="6" fillId="0" borderId="0" xfId="1" applyNumberFormat="1" applyFont="1" applyAlignment="1">
      <alignment horizontal="center"/>
    </xf>
    <xf numFmtId="9" fontId="6" fillId="0" borderId="0" xfId="3" applyFont="1" applyAlignment="1">
      <alignment horizontal="center"/>
    </xf>
    <xf numFmtId="0" fontId="4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Border="1"/>
    <xf numFmtId="0" fontId="5" fillId="3" borderId="0" xfId="0" applyNumberFormat="1" applyFont="1" applyFill="1" applyAlignment="1">
      <alignment horizontal="center"/>
    </xf>
    <xf numFmtId="9" fontId="5" fillId="0" borderId="0" xfId="3" applyFont="1" applyAlignment="1">
      <alignment horizontal="center"/>
    </xf>
    <xf numFmtId="37" fontId="4" fillId="0" borderId="0" xfId="0" applyNumberFormat="1" applyFont="1"/>
    <xf numFmtId="44" fontId="5" fillId="0" borderId="2" xfId="2" applyFont="1" applyBorder="1"/>
    <xf numFmtId="44" fontId="5" fillId="0" borderId="0" xfId="2" applyFont="1"/>
    <xf numFmtId="0" fontId="5" fillId="0" borderId="0" xfId="0" applyNumberFormat="1" applyFont="1" applyBorder="1"/>
    <xf numFmtId="0" fontId="5" fillId="0" borderId="0" xfId="0" applyNumberFormat="1" applyFont="1"/>
    <xf numFmtId="43" fontId="6" fillId="0" borderId="0" xfId="1" applyFont="1"/>
    <xf numFmtId="0" fontId="4" fillId="4" borderId="0" xfId="0" applyNumberFormat="1" applyFont="1" applyFill="1"/>
    <xf numFmtId="0" fontId="6" fillId="4" borderId="0" xfId="0" applyFont="1" applyFill="1"/>
    <xf numFmtId="0" fontId="6" fillId="4" borderId="0" xfId="0" applyNumberFormat="1" applyFont="1" applyFill="1"/>
    <xf numFmtId="9" fontId="6" fillId="4" borderId="0" xfId="3" applyFont="1" applyFill="1" applyAlignment="1">
      <alignment horizontal="center"/>
    </xf>
    <xf numFmtId="0" fontId="6" fillId="4" borderId="0" xfId="0" applyNumberFormat="1" applyFont="1" applyFill="1" applyBorder="1"/>
    <xf numFmtId="9" fontId="6" fillId="4" borderId="0" xfId="3" applyFont="1" applyFill="1"/>
    <xf numFmtId="165" fontId="6" fillId="0" borderId="0" xfId="2" applyNumberFormat="1" applyFont="1"/>
    <xf numFmtId="0" fontId="6" fillId="0" borderId="0" xfId="0" applyFont="1" applyAlignment="1">
      <alignment horizontal="center"/>
    </xf>
    <xf numFmtId="44" fontId="6" fillId="0" borderId="0" xfId="2" applyFont="1"/>
    <xf numFmtId="44" fontId="6" fillId="0" borderId="2" xfId="2" applyFont="1" applyBorder="1"/>
    <xf numFmtId="0" fontId="7" fillId="0" borderId="0" xfId="0" applyNumberFormat="1" applyFont="1"/>
    <xf numFmtId="44" fontId="6" fillId="0" borderId="1" xfId="2" applyFont="1" applyBorder="1"/>
    <xf numFmtId="49" fontId="4" fillId="6" borderId="1" xfId="0" applyNumberFormat="1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44" fontId="4" fillId="0" borderId="0" xfId="2" applyFont="1"/>
    <xf numFmtId="44" fontId="5" fillId="0" borderId="2" xfId="2" applyFont="1" applyBorder="1" applyAlignment="1">
      <alignment horizontal="center"/>
    </xf>
    <xf numFmtId="44" fontId="5" fillId="0" borderId="0" xfId="2" applyFont="1" applyAlignment="1">
      <alignment horizontal="center"/>
    </xf>
    <xf numFmtId="44" fontId="5" fillId="0" borderId="0" xfId="2" applyFont="1" applyBorder="1"/>
    <xf numFmtId="44" fontId="6" fillId="0" borderId="0" xfId="0" applyNumberFormat="1" applyFont="1"/>
    <xf numFmtId="166" fontId="6" fillId="0" borderId="2" xfId="3" applyNumberFormat="1" applyFont="1" applyBorder="1"/>
    <xf numFmtId="166" fontId="6" fillId="0" borderId="1" xfId="3" applyNumberFormat="1" applyFont="1" applyBorder="1"/>
    <xf numFmtId="166" fontId="6" fillId="0" borderId="3" xfId="3" applyNumberFormat="1" applyFont="1" applyBorder="1"/>
    <xf numFmtId="44" fontId="6" fillId="0" borderId="1" xfId="0" applyNumberFormat="1" applyFont="1" applyBorder="1"/>
    <xf numFmtId="44" fontId="6" fillId="0" borderId="3" xfId="0" applyNumberFormat="1" applyFont="1" applyBorder="1"/>
    <xf numFmtId="9" fontId="6" fillId="0" borderId="0" xfId="3" applyFont="1" applyBorder="1"/>
    <xf numFmtId="164" fontId="6" fillId="0" borderId="0" xfId="1" applyNumberFormat="1" applyFont="1" applyBorder="1" applyAlignment="1">
      <alignment horizontal="center"/>
    </xf>
    <xf numFmtId="9" fontId="6" fillId="0" borderId="0" xfId="3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9" fontId="6" fillId="0" borderId="3" xfId="3" applyFont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9" fontId="4" fillId="7" borderId="1" xfId="3" applyFont="1" applyFill="1" applyBorder="1" applyAlignment="1">
      <alignment horizontal="center"/>
    </xf>
    <xf numFmtId="9" fontId="4" fillId="9" borderId="1" xfId="3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43" fontId="6" fillId="0" borderId="0" xfId="0" applyNumberFormat="1" applyFont="1"/>
    <xf numFmtId="0" fontId="10" fillId="0" borderId="0" xfId="0" applyFont="1"/>
    <xf numFmtId="49" fontId="11" fillId="0" borderId="0" xfId="0" applyNumberFormat="1" applyFont="1"/>
    <xf numFmtId="49" fontId="12" fillId="0" borderId="0" xfId="0" applyNumberFormat="1" applyFont="1"/>
    <xf numFmtId="0" fontId="13" fillId="2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9" fontId="12" fillId="3" borderId="1" xfId="3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9" fontId="12" fillId="6" borderId="1" xfId="3" applyFont="1" applyFill="1" applyBorder="1" applyAlignment="1">
      <alignment horizontal="center"/>
    </xf>
    <xf numFmtId="9" fontId="10" fillId="0" borderId="1" xfId="3" applyFont="1" applyBorder="1"/>
    <xf numFmtId="44" fontId="10" fillId="0" borderId="2" xfId="2" applyFont="1" applyBorder="1"/>
    <xf numFmtId="166" fontId="10" fillId="0" borderId="2" xfId="3" applyNumberFormat="1" applyFont="1" applyBorder="1"/>
    <xf numFmtId="9" fontId="10" fillId="0" borderId="0" xfId="3" applyFont="1"/>
    <xf numFmtId="44" fontId="10" fillId="0" borderId="0" xfId="2" applyFont="1"/>
    <xf numFmtId="166" fontId="10" fillId="0" borderId="0" xfId="3" applyNumberFormat="1" applyFont="1"/>
    <xf numFmtId="9" fontId="10" fillId="0" borderId="0" xfId="3" applyFont="1" applyBorder="1"/>
    <xf numFmtId="44" fontId="10" fillId="0" borderId="1" xfId="2" applyFont="1" applyBorder="1"/>
    <xf numFmtId="166" fontId="10" fillId="0" borderId="1" xfId="3" applyNumberFormat="1" applyFont="1" applyBorder="1"/>
    <xf numFmtId="166" fontId="10" fillId="0" borderId="3" xfId="3" applyNumberFormat="1" applyFont="1" applyBorder="1"/>
    <xf numFmtId="0" fontId="12" fillId="0" borderId="0" xfId="0" applyNumberFormat="1" applyFont="1"/>
    <xf numFmtId="0" fontId="13" fillId="0" borderId="0" xfId="0" applyFont="1"/>
    <xf numFmtId="44" fontId="13" fillId="0" borderId="2" xfId="2" applyFont="1" applyBorder="1"/>
    <xf numFmtId="44" fontId="10" fillId="9" borderId="0" xfId="2" applyFont="1" applyFill="1"/>
    <xf numFmtId="44" fontId="12" fillId="0" borderId="0" xfId="2" applyFont="1"/>
    <xf numFmtId="44" fontId="13" fillId="0" borderId="2" xfId="2" applyFont="1" applyBorder="1" applyAlignment="1">
      <alignment horizontal="center"/>
    </xf>
    <xf numFmtId="0" fontId="12" fillId="4" borderId="0" xfId="0" applyNumberFormat="1" applyFont="1" applyFill="1"/>
    <xf numFmtId="0" fontId="10" fillId="4" borderId="0" xfId="0" applyFont="1" applyFill="1"/>
    <xf numFmtId="0" fontId="10" fillId="4" borderId="0" xfId="0" applyNumberFormat="1" applyFont="1" applyFill="1"/>
    <xf numFmtId="9" fontId="10" fillId="4" borderId="0" xfId="3" applyFont="1" applyFill="1"/>
    <xf numFmtId="0" fontId="14" fillId="0" borderId="0" xfId="0" applyNumberFormat="1" applyFont="1"/>
    <xf numFmtId="49" fontId="12" fillId="0" borderId="0" xfId="0" applyNumberFormat="1" applyFont="1" applyAlignment="1">
      <alignment horizontal="left" indent="2"/>
    </xf>
    <xf numFmtId="0" fontId="10" fillId="0" borderId="0" xfId="0" applyFont="1" applyAlignment="1">
      <alignment horizontal="center"/>
    </xf>
    <xf numFmtId="0" fontId="10" fillId="10" borderId="4" xfId="0" applyFont="1" applyFill="1" applyBorder="1" applyAlignment="1">
      <alignment horizontal="center"/>
    </xf>
    <xf numFmtId="44" fontId="10" fillId="7" borderId="8" xfId="0" applyNumberFormat="1" applyFont="1" applyFill="1" applyBorder="1"/>
    <xf numFmtId="0" fontId="6" fillId="0" borderId="0" xfId="0" applyFont="1" applyBorder="1"/>
    <xf numFmtId="49" fontId="4" fillId="6" borderId="11" xfId="0" applyNumberFormat="1" applyFont="1" applyFill="1" applyBorder="1" applyAlignment="1">
      <alignment horizontal="center"/>
    </xf>
    <xf numFmtId="9" fontId="4" fillId="6" borderId="12" xfId="3" applyFont="1" applyFill="1" applyBorder="1" applyAlignment="1">
      <alignment horizontal="center"/>
    </xf>
    <xf numFmtId="44" fontId="6" fillId="0" borderId="13" xfId="2" applyFont="1" applyBorder="1"/>
    <xf numFmtId="44" fontId="6" fillId="0" borderId="0" xfId="0" applyNumberFormat="1" applyFont="1" applyBorder="1"/>
    <xf numFmtId="166" fontId="6" fillId="0" borderId="10" xfId="3" applyNumberFormat="1" applyFont="1" applyBorder="1"/>
    <xf numFmtId="44" fontId="6" fillId="0" borderId="9" xfId="2" applyFont="1" applyBorder="1"/>
    <xf numFmtId="166" fontId="6" fillId="0" borderId="0" xfId="3" applyNumberFormat="1" applyFont="1" applyBorder="1"/>
    <xf numFmtId="44" fontId="6" fillId="0" borderId="11" xfId="2" applyFont="1" applyBorder="1"/>
    <xf numFmtId="166" fontId="6" fillId="0" borderId="12" xfId="3" applyNumberFormat="1" applyFont="1" applyBorder="1"/>
    <xf numFmtId="44" fontId="6" fillId="0" borderId="14" xfId="2" applyFont="1" applyBorder="1"/>
    <xf numFmtId="166" fontId="6" fillId="0" borderId="15" xfId="3" applyNumberFormat="1" applyFont="1" applyBorder="1"/>
    <xf numFmtId="0" fontId="6" fillId="0" borderId="9" xfId="0" applyFont="1" applyBorder="1"/>
    <xf numFmtId="0" fontId="6" fillId="0" borderId="10" xfId="0" applyFont="1" applyBorder="1"/>
    <xf numFmtId="44" fontId="6" fillId="9" borderId="9" xfId="2" applyFont="1" applyFill="1" applyBorder="1"/>
    <xf numFmtId="44" fontId="6" fillId="9" borderId="0" xfId="2" applyFont="1" applyFill="1" applyBorder="1"/>
    <xf numFmtId="44" fontId="6" fillId="0" borderId="0" xfId="2" applyFont="1" applyBorder="1"/>
    <xf numFmtId="44" fontId="6" fillId="4" borderId="0" xfId="2" applyFont="1" applyFill="1" applyBorder="1"/>
    <xf numFmtId="44" fontId="6" fillId="0" borderId="10" xfId="2" applyFont="1" applyBorder="1"/>
    <xf numFmtId="0" fontId="6" fillId="0" borderId="11" xfId="0" applyFont="1" applyBorder="1"/>
    <xf numFmtId="0" fontId="6" fillId="0" borderId="1" xfId="0" applyFont="1" applyBorder="1"/>
    <xf numFmtId="0" fontId="6" fillId="0" borderId="12" xfId="0" applyFont="1" applyBorder="1"/>
    <xf numFmtId="49" fontId="4" fillId="7" borderId="11" xfId="0" applyNumberFormat="1" applyFont="1" applyFill="1" applyBorder="1" applyAlignment="1">
      <alignment horizontal="center"/>
    </xf>
    <xf numFmtId="9" fontId="4" fillId="7" borderId="12" xfId="3" applyFont="1" applyFill="1" applyBorder="1" applyAlignment="1">
      <alignment horizontal="center"/>
    </xf>
    <xf numFmtId="49" fontId="4" fillId="9" borderId="11" xfId="0" applyNumberFormat="1" applyFont="1" applyFill="1" applyBorder="1" applyAlignment="1">
      <alignment horizontal="center"/>
    </xf>
    <xf numFmtId="9" fontId="4" fillId="9" borderId="12" xfId="3" applyFont="1" applyFill="1" applyBorder="1" applyAlignment="1">
      <alignment horizontal="center"/>
    </xf>
    <xf numFmtId="166" fontId="10" fillId="9" borderId="0" xfId="3" applyNumberFormat="1" applyFont="1" applyFill="1"/>
    <xf numFmtId="0" fontId="6" fillId="0" borderId="1" xfId="0" applyFont="1" applyBorder="1" applyAlignment="1">
      <alignment horizontal="center"/>
    </xf>
    <xf numFmtId="44" fontId="10" fillId="0" borderId="0" xfId="2" applyFont="1" applyBorder="1"/>
    <xf numFmtId="166" fontId="10" fillId="0" borderId="0" xfId="3" applyNumberFormat="1" applyFont="1" applyBorder="1"/>
    <xf numFmtId="164" fontId="3" fillId="0" borderId="0" xfId="1" applyNumberFormat="1" applyFont="1"/>
    <xf numFmtId="164" fontId="18" fillId="0" borderId="0" xfId="1" applyNumberFormat="1" applyFont="1"/>
    <xf numFmtId="164" fontId="0" fillId="0" borderId="0" xfId="1" applyNumberFormat="1" applyFont="1"/>
    <xf numFmtId="164" fontId="19" fillId="0" borderId="0" xfId="1" applyNumberFormat="1" applyFont="1"/>
    <xf numFmtId="164" fontId="20" fillId="0" borderId="0" xfId="1" applyNumberFormat="1" applyFont="1"/>
    <xf numFmtId="43" fontId="0" fillId="0" borderId="0" xfId="1" applyFont="1"/>
    <xf numFmtId="164" fontId="21" fillId="0" borderId="0" xfId="1" applyNumberFormat="1" applyFont="1"/>
    <xf numFmtId="164" fontId="22" fillId="0" borderId="0" xfId="1" applyNumberFormat="1" applyFont="1"/>
    <xf numFmtId="164" fontId="2" fillId="0" borderId="0" xfId="1" applyNumberFormat="1" applyFont="1" applyBorder="1" applyAlignment="1">
      <alignment horizontal="centerContinuous"/>
    </xf>
    <xf numFmtId="164" fontId="19" fillId="0" borderId="0" xfId="1" applyNumberFormat="1" applyFont="1" applyBorder="1" applyAlignment="1">
      <alignment horizontal="centerContinuous"/>
    </xf>
    <xf numFmtId="164" fontId="2" fillId="0" borderId="0" xfId="1" applyNumberFormat="1" applyFont="1"/>
    <xf numFmtId="164" fontId="22" fillId="0" borderId="0" xfId="1" applyNumberFormat="1" applyFont="1" applyAlignment="1">
      <alignment horizontal="center" vertical="center"/>
    </xf>
    <xf numFmtId="164" fontId="22" fillId="13" borderId="17" xfId="1" applyNumberFormat="1" applyFont="1" applyFill="1" applyBorder="1" applyAlignment="1">
      <alignment horizontal="center" vertical="center"/>
    </xf>
    <xf numFmtId="164" fontId="22" fillId="13" borderId="17" xfId="1" applyNumberFormat="1" applyFont="1" applyFill="1" applyBorder="1" applyAlignment="1">
      <alignment horizontal="center" vertical="center" wrapText="1"/>
    </xf>
    <xf numFmtId="164" fontId="24" fillId="13" borderId="17" xfId="1" applyNumberFormat="1" applyFont="1" applyFill="1" applyBorder="1" applyAlignment="1">
      <alignment horizontal="center" vertical="center" wrapText="1"/>
    </xf>
    <xf numFmtId="164" fontId="22" fillId="13" borderId="18" xfId="1" applyNumberFormat="1" applyFont="1" applyFill="1" applyBorder="1" applyAlignment="1">
      <alignment horizontal="center" vertical="center"/>
    </xf>
    <xf numFmtId="164" fontId="22" fillId="13" borderId="19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5" fillId="0" borderId="0" xfId="1" applyNumberFormat="1" applyFont="1"/>
    <xf numFmtId="164" fontId="26" fillId="0" borderId="0" xfId="1" applyNumberFormat="1" applyFont="1"/>
    <xf numFmtId="164" fontId="2" fillId="13" borderId="20" xfId="1" applyNumberFormat="1" applyFont="1" applyFill="1" applyBorder="1"/>
    <xf numFmtId="164" fontId="2" fillId="13" borderId="0" xfId="1" applyNumberFormat="1" applyFont="1" applyFill="1" applyBorder="1"/>
    <xf numFmtId="164" fontId="2" fillId="13" borderId="10" xfId="1" applyNumberFormat="1" applyFont="1" applyFill="1" applyBorder="1"/>
    <xf numFmtId="164" fontId="27" fillId="0" borderId="0" xfId="1" applyNumberFormat="1" applyFont="1"/>
    <xf numFmtId="164" fontId="28" fillId="0" borderId="0" xfId="1" applyNumberFormat="1" applyFont="1"/>
    <xf numFmtId="164" fontId="29" fillId="13" borderId="20" xfId="1" applyNumberFormat="1" applyFont="1" applyFill="1" applyBorder="1"/>
    <xf numFmtId="164" fontId="29" fillId="5" borderId="8" xfId="1" applyNumberFormat="1" applyFont="1" applyFill="1" applyBorder="1" applyProtection="1">
      <protection locked="0"/>
    </xf>
    <xf numFmtId="164" fontId="29" fillId="0" borderId="0" xfId="1" applyNumberFormat="1" applyFont="1"/>
    <xf numFmtId="164" fontId="2" fillId="5" borderId="8" xfId="1" applyNumberFormat="1" applyFont="1" applyFill="1" applyBorder="1" applyProtection="1">
      <protection locked="0"/>
    </xf>
    <xf numFmtId="164" fontId="0" fillId="0" borderId="0" xfId="1" applyNumberFormat="1" applyFont="1" applyFill="1"/>
    <xf numFmtId="164" fontId="25" fillId="14" borderId="20" xfId="1" applyNumberFormat="1" applyFont="1" applyFill="1" applyBorder="1"/>
    <xf numFmtId="43" fontId="2" fillId="14" borderId="0" xfId="1" applyFont="1" applyFill="1" applyBorder="1" applyProtection="1">
      <protection locked="0"/>
    </xf>
    <xf numFmtId="164" fontId="0" fillId="0" borderId="0" xfId="1" applyNumberFormat="1" applyFont="1" applyProtection="1">
      <protection locked="0"/>
    </xf>
    <xf numFmtId="164" fontId="29" fillId="0" borderId="20" xfId="1" applyNumberFormat="1" applyFont="1" applyFill="1" applyBorder="1"/>
    <xf numFmtId="164" fontId="29" fillId="0" borderId="8" xfId="1" applyNumberFormat="1" applyFont="1" applyFill="1" applyBorder="1" applyProtection="1">
      <protection locked="0"/>
    </xf>
    <xf numFmtId="164" fontId="29" fillId="0" borderId="0" xfId="1" applyNumberFormat="1" applyFont="1" applyFill="1"/>
    <xf numFmtId="164" fontId="25" fillId="0" borderId="21" xfId="1" applyNumberFormat="1" applyFont="1" applyBorder="1"/>
    <xf numFmtId="164" fontId="26" fillId="0" borderId="22" xfId="1" applyNumberFormat="1" applyFont="1" applyBorder="1"/>
    <xf numFmtId="164" fontId="2" fillId="13" borderId="23" xfId="1" applyNumberFormat="1" applyFont="1" applyFill="1" applyBorder="1" applyProtection="1"/>
    <xf numFmtId="164" fontId="2" fillId="13" borderId="21" xfId="1" applyNumberFormat="1" applyFont="1" applyFill="1" applyBorder="1" applyProtection="1"/>
    <xf numFmtId="164" fontId="2" fillId="13" borderId="22" xfId="1" applyNumberFormat="1" applyFont="1" applyFill="1" applyBorder="1" applyProtection="1"/>
    <xf numFmtId="164" fontId="25" fillId="13" borderId="0" xfId="1" applyNumberFormat="1" applyFont="1" applyFill="1" applyBorder="1" applyProtection="1"/>
    <xf numFmtId="164" fontId="25" fillId="13" borderId="24" xfId="1" applyNumberFormat="1" applyFont="1" applyFill="1" applyBorder="1" applyProtection="1"/>
    <xf numFmtId="164" fontId="2" fillId="13" borderId="20" xfId="1" applyNumberFormat="1" applyFont="1" applyFill="1" applyBorder="1" applyProtection="1"/>
    <xf numFmtId="164" fontId="2" fillId="13" borderId="0" xfId="1" applyNumberFormat="1" applyFont="1" applyFill="1" applyBorder="1" applyProtection="1"/>
    <xf numFmtId="164" fontId="2" fillId="13" borderId="10" xfId="1" applyNumberFormat="1" applyFont="1" applyFill="1" applyBorder="1" applyProtection="1"/>
    <xf numFmtId="164" fontId="25" fillId="13" borderId="25" xfId="1" applyNumberFormat="1" applyFont="1" applyFill="1" applyBorder="1"/>
    <xf numFmtId="164" fontId="25" fillId="0" borderId="6" xfId="1" applyNumberFormat="1" applyFont="1" applyBorder="1"/>
    <xf numFmtId="164" fontId="26" fillId="0" borderId="6" xfId="1" applyNumberFormat="1" applyFont="1" applyBorder="1"/>
    <xf numFmtId="164" fontId="25" fillId="13" borderId="26" xfId="1" applyNumberFormat="1" applyFont="1" applyFill="1" applyBorder="1"/>
    <xf numFmtId="164" fontId="25" fillId="13" borderId="21" xfId="1" applyNumberFormat="1" applyFont="1" applyFill="1" applyBorder="1" applyProtection="1"/>
    <xf numFmtId="164" fontId="25" fillId="13" borderId="27" xfId="1" applyNumberFormat="1" applyFont="1" applyFill="1" applyBorder="1" applyProtection="1"/>
    <xf numFmtId="164" fontId="25" fillId="13" borderId="20" xfId="1" applyNumberFormat="1" applyFont="1" applyFill="1" applyBorder="1"/>
    <xf numFmtId="164" fontId="25" fillId="13" borderId="10" xfId="1" applyNumberFormat="1" applyFont="1" applyFill="1" applyBorder="1" applyProtection="1"/>
    <xf numFmtId="164" fontId="29" fillId="0" borderId="0" xfId="1" applyNumberFormat="1" applyFont="1" applyFill="1" applyBorder="1"/>
    <xf numFmtId="164" fontId="2" fillId="0" borderId="20" xfId="1" applyNumberFormat="1" applyFont="1" applyFill="1" applyBorder="1"/>
    <xf numFmtId="164" fontId="2" fillId="0" borderId="0" xfId="1" applyNumberFormat="1" applyFont="1" applyFill="1" applyBorder="1" applyProtection="1"/>
    <xf numFmtId="164" fontId="2" fillId="0" borderId="10" xfId="1" applyNumberFormat="1" applyFont="1" applyFill="1" applyBorder="1" applyProtection="1"/>
    <xf numFmtId="164" fontId="2" fillId="14" borderId="20" xfId="1" applyNumberFormat="1" applyFont="1" applyFill="1" applyBorder="1"/>
    <xf numFmtId="164" fontId="2" fillId="14" borderId="0" xfId="1" applyNumberFormat="1" applyFont="1" applyFill="1" applyBorder="1" applyProtection="1"/>
    <xf numFmtId="43" fontId="29" fillId="0" borderId="0" xfId="1" applyFont="1" applyFill="1" applyBorder="1" applyProtection="1"/>
    <xf numFmtId="164" fontId="29" fillId="0" borderId="0" xfId="1" applyNumberFormat="1" applyFont="1" applyFill="1" applyBorder="1" applyProtection="1"/>
    <xf numFmtId="164" fontId="29" fillId="0" borderId="10" xfId="1" applyNumberFormat="1" applyFont="1" applyFill="1" applyBorder="1" applyProtection="1"/>
    <xf numFmtId="164" fontId="29" fillId="0" borderId="20" xfId="1" applyNumberFormat="1" applyFont="1" applyFill="1" applyBorder="1" applyProtection="1"/>
    <xf numFmtId="164" fontId="2" fillId="14" borderId="10" xfId="1" applyNumberFormat="1" applyFont="1" applyFill="1" applyBorder="1" applyProtection="1"/>
    <xf numFmtId="164" fontId="25" fillId="0" borderId="28" xfId="1" applyNumberFormat="1" applyFont="1" applyBorder="1"/>
    <xf numFmtId="164" fontId="25" fillId="13" borderId="29" xfId="1" applyNumberFormat="1" applyFont="1" applyFill="1" applyBorder="1"/>
    <xf numFmtId="164" fontId="25" fillId="13" borderId="28" xfId="1" applyNumberFormat="1" applyFont="1" applyFill="1" applyBorder="1"/>
    <xf numFmtId="164" fontId="25" fillId="0" borderId="30" xfId="1" applyNumberFormat="1" applyFont="1" applyBorder="1"/>
    <xf numFmtId="164" fontId="26" fillId="0" borderId="30" xfId="1" applyNumberFormat="1" applyFont="1" applyBorder="1"/>
    <xf numFmtId="164" fontId="25" fillId="13" borderId="31" xfId="1" applyNumberFormat="1" applyFont="1" applyFill="1" applyBorder="1"/>
    <xf numFmtId="164" fontId="25" fillId="13" borderId="30" xfId="1" applyNumberFormat="1" applyFont="1" applyFill="1" applyBorder="1"/>
    <xf numFmtId="164" fontId="25" fillId="13" borderId="32" xfId="1" applyNumberFormat="1" applyFont="1" applyFill="1" applyBorder="1"/>
    <xf numFmtId="10" fontId="0" fillId="0" borderId="0" xfId="3" applyNumberFormat="1" applyFont="1"/>
    <xf numFmtId="164" fontId="2" fillId="0" borderId="0" xfId="1" applyNumberFormat="1" applyFont="1" applyFill="1" applyBorder="1"/>
    <xf numFmtId="164" fontId="29" fillId="0" borderId="0" xfId="1" applyNumberFormat="1" applyFont="1" applyFill="1" applyBorder="1" applyProtection="1">
      <protection locked="0"/>
    </xf>
    <xf numFmtId="164" fontId="25" fillId="13" borderId="0" xfId="1" applyNumberFormat="1" applyFont="1" applyFill="1" applyBorder="1"/>
    <xf numFmtId="164" fontId="25" fillId="13" borderId="10" xfId="1" applyNumberFormat="1" applyFont="1" applyFill="1" applyBorder="1"/>
    <xf numFmtId="165" fontId="10" fillId="0" borderId="2" xfId="2" applyNumberFormat="1" applyFont="1" applyBorder="1"/>
    <xf numFmtId="165" fontId="10" fillId="0" borderId="0" xfId="2" applyNumberFormat="1" applyFont="1" applyBorder="1"/>
    <xf numFmtId="165" fontId="10" fillId="0" borderId="0" xfId="2" applyNumberFormat="1" applyFont="1"/>
    <xf numFmtId="165" fontId="10" fillId="0" borderId="0" xfId="2" quotePrefix="1" applyNumberFormat="1" applyFont="1"/>
    <xf numFmtId="165" fontId="10" fillId="0" borderId="1" xfId="2" applyNumberFormat="1" applyFont="1" applyBorder="1"/>
    <xf numFmtId="165" fontId="10" fillId="0" borderId="3" xfId="2" applyNumberFormat="1" applyFont="1" applyBorder="1"/>
    <xf numFmtId="166" fontId="10" fillId="0" borderId="0" xfId="3" applyNumberFormat="1" applyFont="1" applyFill="1"/>
    <xf numFmtId="164" fontId="10" fillId="0" borderId="0" xfId="1" applyNumberFormat="1" applyFont="1"/>
    <xf numFmtId="49" fontId="13" fillId="0" borderId="0" xfId="0" applyNumberFormat="1" applyFont="1"/>
    <xf numFmtId="165" fontId="10" fillId="0" borderId="0" xfId="0" applyNumberFormat="1" applyFont="1"/>
    <xf numFmtId="165" fontId="10" fillId="0" borderId="30" xfId="0" applyNumberFormat="1" applyFont="1" applyBorder="1"/>
    <xf numFmtId="44" fontId="13" fillId="0" borderId="0" xfId="2" applyFont="1" applyBorder="1"/>
    <xf numFmtId="44" fontId="13" fillId="0" borderId="0" xfId="2" applyFont="1" applyBorder="1" applyAlignment="1">
      <alignment horizontal="center"/>
    </xf>
    <xf numFmtId="9" fontId="12" fillId="0" borderId="0" xfId="3" applyFont="1" applyFill="1" applyBorder="1" applyAlignment="1">
      <alignment horizontal="center"/>
    </xf>
    <xf numFmtId="44" fontId="10" fillId="0" borderId="0" xfId="2" applyFont="1" applyFill="1"/>
    <xf numFmtId="0" fontId="13" fillId="5" borderId="6" xfId="0" applyFont="1" applyFill="1" applyBorder="1" applyAlignment="1"/>
    <xf numFmtId="0" fontId="13" fillId="5" borderId="7" xfId="0" applyFont="1" applyFill="1" applyBorder="1" applyAlignment="1"/>
    <xf numFmtId="0" fontId="13" fillId="0" borderId="0" xfId="0" applyFont="1" applyFill="1" applyBorder="1" applyAlignment="1"/>
    <xf numFmtId="9" fontId="0" fillId="0" borderId="0" xfId="0" applyNumberFormat="1"/>
    <xf numFmtId="0" fontId="1" fillId="0" borderId="0" xfId="0" applyFont="1"/>
    <xf numFmtId="164" fontId="29" fillId="15" borderId="20" xfId="1" applyNumberFormat="1" applyFont="1" applyFill="1" applyBorder="1"/>
    <xf numFmtId="3" fontId="0" fillId="0" borderId="0" xfId="0" applyNumberFormat="1"/>
    <xf numFmtId="164" fontId="0" fillId="0" borderId="0" xfId="0" applyNumberFormat="1"/>
    <xf numFmtId="44" fontId="0" fillId="0" borderId="0" xfId="0" applyNumberFormat="1"/>
    <xf numFmtId="10" fontId="10" fillId="0" borderId="0" xfId="3" applyNumberFormat="1" applyFont="1" applyBorder="1"/>
    <xf numFmtId="164" fontId="2" fillId="15" borderId="20" xfId="1" applyNumberFormat="1" applyFont="1" applyFill="1" applyBorder="1"/>
    <xf numFmtId="164" fontId="0" fillId="0" borderId="30" xfId="1" applyNumberFormat="1" applyFont="1" applyBorder="1"/>
    <xf numFmtId="43" fontId="23" fillId="0" borderId="0" xfId="1" applyFont="1" applyAlignment="1">
      <alignment horizontal="center"/>
    </xf>
    <xf numFmtId="49" fontId="31" fillId="0" borderId="0" xfId="0" applyNumberFormat="1" applyFont="1"/>
    <xf numFmtId="49" fontId="32" fillId="0" borderId="0" xfId="0" applyNumberFormat="1" applyFont="1"/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/>
    <xf numFmtId="9" fontId="10" fillId="9" borderId="0" xfId="3" applyFont="1" applyFill="1"/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4" fontId="12" fillId="0" borderId="0" xfId="2" applyFont="1" applyAlignment="1">
      <alignment wrapText="1"/>
    </xf>
    <xf numFmtId="0" fontId="12" fillId="0" borderId="0" xfId="0" applyNumberFormat="1" applyFont="1" applyAlignment="1">
      <alignment wrapText="1"/>
    </xf>
    <xf numFmtId="165" fontId="0" fillId="0" borderId="0" xfId="2" applyNumberFormat="1" applyFont="1"/>
    <xf numFmtId="0" fontId="0" fillId="0" borderId="0" xfId="0" pivotButton="1"/>
    <xf numFmtId="9" fontId="0" fillId="0" borderId="0" xfId="0" applyNumberFormat="1" applyAlignment="1">
      <alignment horizontal="left"/>
    </xf>
    <xf numFmtId="0" fontId="35" fillId="0" borderId="0" xfId="0" applyFont="1"/>
    <xf numFmtId="0" fontId="36" fillId="0" borderId="0" xfId="0" applyFont="1"/>
    <xf numFmtId="0" fontId="10" fillId="0" borderId="34" xfId="0" applyFont="1" applyBorder="1"/>
    <xf numFmtId="0" fontId="10" fillId="0" borderId="28" xfId="0" applyFont="1" applyBorder="1"/>
    <xf numFmtId="0" fontId="13" fillId="0" borderId="28" xfId="0" applyFont="1" applyFill="1" applyBorder="1" applyAlignment="1"/>
    <xf numFmtId="0" fontId="0" fillId="0" borderId="28" xfId="0" applyBorder="1"/>
    <xf numFmtId="0" fontId="0" fillId="0" borderId="0" xfId="0" applyBorder="1"/>
    <xf numFmtId="49" fontId="12" fillId="0" borderId="3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0" fillId="0" borderId="0" xfId="0" applyFont="1" applyBorder="1"/>
    <xf numFmtId="9" fontId="12" fillId="6" borderId="36" xfId="3" applyFont="1" applyFill="1" applyBorder="1" applyAlignment="1">
      <alignment horizontal="center"/>
    </xf>
    <xf numFmtId="49" fontId="12" fillId="0" borderId="35" xfId="0" applyNumberFormat="1" applyFont="1" applyBorder="1"/>
    <xf numFmtId="49" fontId="12" fillId="0" borderId="0" xfId="0" applyNumberFormat="1" applyFont="1" applyBorder="1"/>
    <xf numFmtId="166" fontId="10" fillId="0" borderId="37" xfId="3" applyNumberFormat="1" applyFont="1" applyBorder="1"/>
    <xf numFmtId="166" fontId="10" fillId="0" borderId="33" xfId="3" applyNumberFormat="1" applyFont="1" applyBorder="1"/>
    <xf numFmtId="49" fontId="12" fillId="0" borderId="35" xfId="0" applyNumberFormat="1" applyFont="1" applyBorder="1" applyAlignment="1">
      <alignment horizontal="left" indent="2"/>
    </xf>
    <xf numFmtId="166" fontId="10" fillId="0" borderId="0" xfId="3" applyNumberFormat="1" applyFont="1" applyFill="1" applyBorder="1"/>
    <xf numFmtId="0" fontId="10" fillId="0" borderId="0" xfId="0" applyFont="1" applyBorder="1" applyAlignment="1">
      <alignment horizontal="center"/>
    </xf>
    <xf numFmtId="166" fontId="10" fillId="0" borderId="33" xfId="3" applyNumberFormat="1" applyFont="1" applyFill="1" applyBorder="1"/>
    <xf numFmtId="166" fontId="10" fillId="0" borderId="36" xfId="3" applyNumberFormat="1" applyFont="1" applyBorder="1"/>
    <xf numFmtId="166" fontId="10" fillId="0" borderId="38" xfId="3" applyNumberFormat="1" applyFont="1" applyBorder="1"/>
    <xf numFmtId="9" fontId="10" fillId="9" borderId="0" xfId="3" applyFont="1" applyFill="1" applyBorder="1"/>
    <xf numFmtId="9" fontId="10" fillId="9" borderId="33" xfId="3" applyFont="1" applyFill="1" applyBorder="1"/>
    <xf numFmtId="0" fontId="12" fillId="0" borderId="35" xfId="0" applyNumberFormat="1" applyFont="1" applyBorder="1"/>
    <xf numFmtId="0" fontId="12" fillId="0" borderId="0" xfId="0" applyNumberFormat="1" applyFont="1" applyBorder="1"/>
    <xf numFmtId="0" fontId="10" fillId="0" borderId="33" xfId="0" applyFont="1" applyBorder="1"/>
    <xf numFmtId="0" fontId="13" fillId="0" borderId="0" xfId="0" applyFont="1" applyBorder="1"/>
    <xf numFmtId="164" fontId="10" fillId="0" borderId="0" xfId="1" applyNumberFormat="1" applyFont="1" applyBorder="1"/>
    <xf numFmtId="44" fontId="10" fillId="0" borderId="0" xfId="2" applyFont="1" applyFill="1" applyBorder="1"/>
    <xf numFmtId="0" fontId="10" fillId="0" borderId="0" xfId="0" applyFont="1" applyFill="1" applyBorder="1"/>
    <xf numFmtId="44" fontId="12" fillId="0" borderId="35" xfId="2" applyFont="1" applyBorder="1"/>
    <xf numFmtId="44" fontId="12" fillId="0" borderId="0" xfId="2" applyFont="1" applyBorder="1"/>
    <xf numFmtId="44" fontId="10" fillId="0" borderId="33" xfId="2" applyFont="1" applyBorder="1"/>
    <xf numFmtId="0" fontId="0" fillId="0" borderId="39" xfId="0" applyBorder="1"/>
    <xf numFmtId="0" fontId="0" fillId="0" borderId="21" xfId="0" applyBorder="1"/>
    <xf numFmtId="0" fontId="0" fillId="0" borderId="40" xfId="0" applyBorder="1"/>
    <xf numFmtId="0" fontId="37" fillId="0" borderId="0" xfId="0" applyFont="1"/>
    <xf numFmtId="0" fontId="38" fillId="0" borderId="0" xfId="0" applyFont="1" applyFill="1" applyBorder="1" applyAlignment="1"/>
    <xf numFmtId="0" fontId="38" fillId="5" borderId="5" xfId="0" applyFont="1" applyFill="1" applyBorder="1" applyAlignment="1"/>
    <xf numFmtId="0" fontId="38" fillId="5" borderId="6" xfId="0" applyFont="1" applyFill="1" applyBorder="1" applyAlignment="1"/>
    <xf numFmtId="0" fontId="38" fillId="5" borderId="7" xfId="0" applyFont="1" applyFill="1" applyBorder="1" applyAlignment="1"/>
    <xf numFmtId="49" fontId="39" fillId="0" borderId="0" xfId="0" applyNumberFormat="1" applyFont="1"/>
    <xf numFmtId="49" fontId="40" fillId="0" borderId="0" xfId="0" applyNumberFormat="1" applyFont="1"/>
    <xf numFmtId="0" fontId="38" fillId="2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/>
    <xf numFmtId="49" fontId="39" fillId="0" borderId="35" xfId="0" applyNumberFormat="1" applyFont="1" applyBorder="1"/>
    <xf numFmtId="49" fontId="40" fillId="0" borderId="0" xfId="0" applyNumberFormat="1" applyFont="1" applyBorder="1"/>
    <xf numFmtId="0" fontId="38" fillId="0" borderId="0" xfId="0" applyFont="1" applyFill="1" applyBorder="1" applyAlignment="1">
      <alignment horizontal="center"/>
    </xf>
    <xf numFmtId="0" fontId="35" fillId="0" borderId="0" xfId="0" applyFont="1" applyBorder="1"/>
    <xf numFmtId="0" fontId="38" fillId="0" borderId="0" xfId="0" applyFont="1" applyBorder="1"/>
    <xf numFmtId="164" fontId="5" fillId="9" borderId="0" xfId="1" applyNumberFormat="1" applyFont="1" applyFill="1"/>
    <xf numFmtId="9" fontId="5" fillId="9" borderId="0" xfId="3" applyFont="1" applyFill="1"/>
    <xf numFmtId="43" fontId="0" fillId="0" borderId="30" xfId="1" applyNumberFormat="1" applyFont="1" applyBorder="1"/>
    <xf numFmtId="166" fontId="10" fillId="0" borderId="30" xfId="0" applyNumberFormat="1" applyFont="1" applyBorder="1"/>
    <xf numFmtId="164" fontId="0" fillId="0" borderId="34" xfId="1" applyNumberFormat="1" applyFont="1" applyBorder="1"/>
    <xf numFmtId="164" fontId="0" fillId="0" borderId="28" xfId="1" applyNumberFormat="1" applyFont="1" applyBorder="1"/>
    <xf numFmtId="164" fontId="0" fillId="0" borderId="41" xfId="1" applyNumberFormat="1" applyFont="1" applyBorder="1"/>
    <xf numFmtId="164" fontId="0" fillId="0" borderId="35" xfId="1" applyNumberFormat="1" applyFont="1" applyBorder="1"/>
    <xf numFmtId="164" fontId="0" fillId="0" borderId="0" xfId="1" applyNumberFormat="1" applyFont="1" applyBorder="1"/>
    <xf numFmtId="164" fontId="0" fillId="0" borderId="33" xfId="1" applyNumberFormat="1" applyFont="1" applyBorder="1"/>
    <xf numFmtId="164" fontId="0" fillId="9" borderId="0" xfId="1" applyNumberFormat="1" applyFont="1" applyFill="1" applyBorder="1"/>
    <xf numFmtId="43" fontId="0" fillId="0" borderId="0" xfId="1" applyNumberFormat="1" applyFont="1" applyBorder="1"/>
    <xf numFmtId="164" fontId="29" fillId="0" borderId="0" xfId="1" applyNumberFormat="1" applyFont="1" applyBorder="1"/>
    <xf numFmtId="164" fontId="0" fillId="2" borderId="0" xfId="1" applyNumberFormat="1" applyFont="1" applyFill="1" applyBorder="1"/>
    <xf numFmtId="164" fontId="0" fillId="8" borderId="0" xfId="1" applyNumberFormat="1" applyFont="1" applyFill="1" applyBorder="1"/>
    <xf numFmtId="164" fontId="30" fillId="0" borderId="0" xfId="1" applyNumberFormat="1" applyFont="1" applyBorder="1"/>
    <xf numFmtId="164" fontId="0" fillId="0" borderId="39" xfId="1" applyNumberFormat="1" applyFont="1" applyBorder="1"/>
    <xf numFmtId="164" fontId="0" fillId="0" borderId="21" xfId="1" applyNumberFormat="1" applyFont="1" applyBorder="1"/>
    <xf numFmtId="164" fontId="0" fillId="0" borderId="40" xfId="1" applyNumberFormat="1" applyFont="1" applyBorder="1"/>
    <xf numFmtId="0" fontId="38" fillId="5" borderId="0" xfId="0" applyFont="1" applyFill="1" applyBorder="1" applyAlignment="1">
      <alignment horizontal="center"/>
    </xf>
    <xf numFmtId="0" fontId="40" fillId="16" borderId="28" xfId="0" applyFont="1" applyFill="1" applyBorder="1" applyAlignment="1">
      <alignment horizontal="center"/>
    </xf>
    <xf numFmtId="0" fontId="38" fillId="5" borderId="0" xfId="0" applyFont="1" applyFill="1" applyAlignment="1">
      <alignment horizontal="center"/>
    </xf>
    <xf numFmtId="0" fontId="15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  <xf numFmtId="0" fontId="38" fillId="5" borderId="28" xfId="0" applyFont="1" applyFill="1" applyBorder="1" applyAlignment="1">
      <alignment horizontal="center"/>
    </xf>
    <xf numFmtId="0" fontId="33" fillId="5" borderId="28" xfId="0" applyFont="1" applyFill="1" applyBorder="1" applyAlignment="1">
      <alignment horizontal="center"/>
    </xf>
    <xf numFmtId="0" fontId="33" fillId="5" borderId="5" xfId="0" applyFont="1" applyFill="1" applyBorder="1" applyAlignment="1">
      <alignment horizontal="center"/>
    </xf>
    <xf numFmtId="0" fontId="33" fillId="5" borderId="6" xfId="0" applyFont="1" applyFill="1" applyBorder="1" applyAlignment="1">
      <alignment horizontal="center"/>
    </xf>
    <xf numFmtId="0" fontId="33" fillId="5" borderId="7" xfId="0" applyFont="1" applyFill="1" applyBorder="1" applyAlignment="1">
      <alignment horizontal="center"/>
    </xf>
    <xf numFmtId="0" fontId="33" fillId="5" borderId="0" xfId="0" applyFont="1" applyFill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6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center"/>
    </xf>
    <xf numFmtId="164" fontId="23" fillId="0" borderId="16" xfId="1" applyNumberFormat="1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5" borderId="5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49" fontId="5" fillId="5" borderId="7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9" fontId="5" fillId="10" borderId="5" xfId="0" applyNumberFormat="1" applyFont="1" applyFill="1" applyBorder="1" applyAlignment="1">
      <alignment horizontal="center"/>
    </xf>
    <xf numFmtId="49" fontId="5" fillId="10" borderId="6" xfId="0" applyNumberFormat="1" applyFont="1" applyFill="1" applyBorder="1" applyAlignment="1">
      <alignment horizontal="center"/>
    </xf>
    <xf numFmtId="49" fontId="5" fillId="10" borderId="7" xfId="0" applyNumberFormat="1" applyFont="1" applyFill="1" applyBorder="1" applyAlignment="1">
      <alignment horizontal="center"/>
    </xf>
    <xf numFmtId="0" fontId="5" fillId="8" borderId="0" xfId="0" applyFont="1" applyFill="1" applyAlignment="1">
      <alignment horizontal="center" vertical="center" wrapText="1"/>
    </xf>
    <xf numFmtId="49" fontId="5" fillId="11" borderId="5" xfId="0" applyNumberFormat="1" applyFont="1" applyFill="1" applyBorder="1" applyAlignment="1">
      <alignment horizontal="center"/>
    </xf>
    <xf numFmtId="49" fontId="5" fillId="11" borderId="6" xfId="0" applyNumberFormat="1" applyFont="1" applyFill="1" applyBorder="1" applyAlignment="1">
      <alignment horizontal="center"/>
    </xf>
    <xf numFmtId="49" fontId="5" fillId="11" borderId="7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numFmt numFmtId="3" formatCode="#,##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[Board Member Materials 20210928 - ReStore Scenarios with FY22 and NFB Projections.xlsx]Revenue Chart!PivotTable4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4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Revenue Required at Net Profit %</a:t>
            </a:r>
            <a:endParaRPr lang="en-US" sz="1400"/>
          </a:p>
        </c:rich>
      </c:tx>
      <c:layout>
        <c:manualLayout>
          <c:xMode val="edge"/>
          <c:yMode val="edge"/>
          <c:x val="0.32154584825360344"/>
          <c:y val="1.3606724936305528E-2"/>
        </c:manualLayout>
      </c:layout>
      <c:overlay val="0"/>
      <c:spPr>
        <a:solidFill>
          <a:schemeClr val="accent6"/>
        </a:solidFill>
        <a:ln w="12700" cap="flat" cmpd="sng" algn="ctr">
          <a:solidFill>
            <a:schemeClr val="accent6">
              <a:shade val="50000"/>
            </a:schemeClr>
          </a:solidFill>
          <a:prstDash val="solid"/>
          <a:miter lim="800000"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4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5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6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7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8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9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0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46388666175441"/>
          <c:y val="3.9604108122023307E-2"/>
          <c:w val="0.79323388964399444"/>
          <c:h val="0.86177633364873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'Revenue Chart'!$B$1</c:f>
              <c:strCache>
                <c:ptCount val="1"/>
                <c:pt idx="0">
                  <c:v> - Revenue</c:v>
                </c:pt>
              </c:strCache>
            </c:strRef>
          </c:tx>
          <c:spPr>
            <a:solidFill>
              <a:schemeClr val="accent6"/>
            </a:solidFill>
            <a:ln w="50800">
              <a:solidFill>
                <a:schemeClr val="tx1">
                  <a:lumMod val="15000"/>
                  <a:lumOff val="85000"/>
                </a:schemeClr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D6-414E-A6E9-162B11E10EA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DD6-414E-A6E9-162B11E10EA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D6-414E-A6E9-162B11E10EA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DD6-414E-A6E9-162B11E10EA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DD6-414E-A6E9-162B11E10EA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DD6-414E-A6E9-162B11E10EA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DD6-414E-A6E9-162B11E10EA4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D6-414E-A6E9-162B11E10EA4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D6-414E-A6E9-162B11E10EA4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D6-414E-A6E9-162B11E10EA4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D6-414E-A6E9-162B11E10EA4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D6-414E-A6E9-162B11E10EA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D6-414E-A6E9-162B11E10EA4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D6-414E-A6E9-162B11E10E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0" rIns="38100" bIns="19050" anchor="ctr" anchorCtr="1">
                <a:spAutoFit/>
              </a:bodyPr>
              <a:lstStyle/>
              <a:p>
                <a:pPr>
                  <a:defRPr sz="9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 Chart'!$A$2:$A$9</c:f>
              <c:strCache>
                <c:ptCount val="7"/>
                <c:pt idx="0">
                  <c:v>10%</c:v>
                </c:pt>
                <c:pt idx="1">
                  <c:v>15%</c:v>
                </c:pt>
                <c:pt idx="2">
                  <c:v>20%</c:v>
                </c:pt>
                <c:pt idx="3">
                  <c:v>25%</c:v>
                </c:pt>
                <c:pt idx="4">
                  <c:v>30%</c:v>
                </c:pt>
                <c:pt idx="5">
                  <c:v>35%</c:v>
                </c:pt>
                <c:pt idx="6">
                  <c:v>40%</c:v>
                </c:pt>
              </c:strCache>
            </c:strRef>
          </c:cat>
          <c:val>
            <c:numRef>
              <c:f>'Revenue Chart'!$B$2:$B$9</c:f>
              <c:numCache>
                <c:formatCode>_(* #,##0_);_(* \(#,##0\);_(* "-"??_);_(@_)</c:formatCode>
                <c:ptCount val="7"/>
                <c:pt idx="0">
                  <c:v>542150.4664063385</c:v>
                </c:pt>
                <c:pt idx="1">
                  <c:v>574536.99367075542</c:v>
                </c:pt>
                <c:pt idx="2">
                  <c:v>611038.70864348451</c:v>
                </c:pt>
                <c:pt idx="3">
                  <c:v>652493.16648903978</c:v>
                </c:pt>
                <c:pt idx="4">
                  <c:v>699981.75211415172</c:v>
                </c:pt>
                <c:pt idx="5">
                  <c:v>754925.37472907733</c:v>
                </c:pt>
                <c:pt idx="6">
                  <c:v>819229.06933973136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D6-414E-A6E9-162B11E10EA4}"/>
            </c:ext>
          </c:extLst>
        </c:ser>
        <c:ser>
          <c:idx val="1"/>
          <c:order val="1"/>
          <c:tx>
            <c:strRef>
              <c:f>'Revenue Chart'!$C$1</c:f>
              <c:strCache>
                <c:ptCount val="1"/>
                <c:pt idx="0">
                  <c:v>Sum of Net 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'Revenue Chart'!$A$2:$A$9</c:f>
              <c:strCache>
                <c:ptCount val="7"/>
                <c:pt idx="0">
                  <c:v>10%</c:v>
                </c:pt>
                <c:pt idx="1">
                  <c:v>15%</c:v>
                </c:pt>
                <c:pt idx="2">
                  <c:v>20%</c:v>
                </c:pt>
                <c:pt idx="3">
                  <c:v>25%</c:v>
                </c:pt>
                <c:pt idx="4">
                  <c:v>30%</c:v>
                </c:pt>
                <c:pt idx="5">
                  <c:v>35%</c:v>
                </c:pt>
                <c:pt idx="6">
                  <c:v>40%</c:v>
                </c:pt>
              </c:strCache>
            </c:strRef>
          </c:cat>
          <c:val>
            <c:numRef>
              <c:f>'Revenue Chart'!$C$2:$C$9</c:f>
              <c:numCache>
                <c:formatCode>_(* #,##0_);_(* \(#,##0\);_(* "-"??_);_(@_)</c:formatCode>
                <c:ptCount val="7"/>
                <c:pt idx="0">
                  <c:v>54215.046640633853</c:v>
                </c:pt>
                <c:pt idx="1">
                  <c:v>86180.549050613306</c:v>
                </c:pt>
                <c:pt idx="2">
                  <c:v>122207.74172869691</c:v>
                </c:pt>
                <c:pt idx="3">
                  <c:v>163123.29162225995</c:v>
                </c:pt>
                <c:pt idx="4">
                  <c:v>209994.52563424551</c:v>
                </c:pt>
                <c:pt idx="5">
                  <c:v>264223.88115517708</c:v>
                </c:pt>
                <c:pt idx="6">
                  <c:v>327691.62773589254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D6-414E-A6E9-162B11E10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-27"/>
        <c:axId val="1655882047"/>
        <c:axId val="1657646623"/>
      </c:barChart>
      <c:catAx>
        <c:axId val="1655882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b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Net</a:t>
                </a:r>
                <a:r>
                  <a:rPr lang="en-US" sz="1400" b="1" baseline="0"/>
                  <a:t> Profit Percentage 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646623"/>
        <c:crosses val="autoZero"/>
        <c:auto val="1"/>
        <c:lblAlgn val="ctr"/>
        <c:lblOffset val="100"/>
        <c:noMultiLvlLbl val="0"/>
      </c:catAx>
      <c:valAx>
        <c:axId val="1657646623"/>
        <c:scaling>
          <c:orientation val="minMax"/>
          <c:max val="850000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882047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57150" cap="flat" cmpd="sng" algn="ctr">
      <a:solidFill>
        <a:schemeClr val="bg1"/>
      </a:solidFill>
      <a:round/>
    </a:ln>
    <a:effectLst>
      <a:glow rad="127000">
        <a:schemeClr val="bg1"/>
      </a:glow>
      <a:outerShdw blurRad="50800" dist="50800" dir="5400000" algn="ctr" rotWithShape="0">
        <a:schemeClr val="bg1"/>
      </a:outerShdw>
    </a:effectLst>
  </c:spPr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[Board Member Materials 20210928 - ReStore Scenarios with FY22 and NFB Projections.xlsx]Net Profit Chart!PivotTable4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 Net Profit  at each Profit %</a:t>
            </a:r>
            <a:endParaRPr lang="en-US"/>
          </a:p>
        </c:rich>
      </c:tx>
      <c:overlay val="0"/>
      <c:spPr>
        <a:solidFill>
          <a:schemeClr val="accent5"/>
        </a:solidFill>
        <a:ln w="12700" cap="flat" cmpd="sng" algn="ctr">
          <a:solidFill>
            <a:schemeClr val="accent5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6184317208031375E-2"/>
          <c:y val="0.10462541732541641"/>
          <c:w val="0.88171454695020857"/>
          <c:h val="0.7870533543422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Profit Chart'!$B$1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'Net Profit Chart'!$A$2:$A$9</c:f>
              <c:strCache>
                <c:ptCount val="7"/>
                <c:pt idx="0">
                  <c:v>10%</c:v>
                </c:pt>
                <c:pt idx="1">
                  <c:v>15%</c:v>
                </c:pt>
                <c:pt idx="2">
                  <c:v>20%</c:v>
                </c:pt>
                <c:pt idx="3">
                  <c:v>25%</c:v>
                </c:pt>
                <c:pt idx="4">
                  <c:v>30%</c:v>
                </c:pt>
                <c:pt idx="5">
                  <c:v>35%</c:v>
                </c:pt>
                <c:pt idx="6">
                  <c:v>40%</c:v>
                </c:pt>
              </c:strCache>
            </c:strRef>
          </c:cat>
          <c:val>
            <c:numRef>
              <c:f>'Net Profit Chart'!$B$2:$B$9</c:f>
              <c:numCache>
                <c:formatCode>_(* #,##0_);_(* \(#,##0\);_(* "-"??_);_(@_)</c:formatCode>
                <c:ptCount val="7"/>
                <c:pt idx="0">
                  <c:v>54215.046640633853</c:v>
                </c:pt>
                <c:pt idx="1">
                  <c:v>86180.549050613306</c:v>
                </c:pt>
                <c:pt idx="2">
                  <c:v>122207.74172869691</c:v>
                </c:pt>
                <c:pt idx="3">
                  <c:v>163123.29162225995</c:v>
                </c:pt>
                <c:pt idx="4">
                  <c:v>209994.52563424551</c:v>
                </c:pt>
                <c:pt idx="5">
                  <c:v>264223.88115517708</c:v>
                </c:pt>
                <c:pt idx="6">
                  <c:v>327691.62773589254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4-0544-B64C-994A4185B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19"/>
        <c:axId val="1655882047"/>
        <c:axId val="1657646623"/>
      </c:barChart>
      <c:catAx>
        <c:axId val="1655882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Net Profit Percentage</a:t>
                </a:r>
              </a:p>
            </c:rich>
          </c:tx>
          <c:layout>
            <c:manualLayout>
              <c:xMode val="edge"/>
              <c:yMode val="edge"/>
              <c:x val="0.39810176098384509"/>
              <c:y val="0.95384634201090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646623"/>
        <c:crosses val="autoZero"/>
        <c:auto val="1"/>
        <c:lblAlgn val="ctr"/>
        <c:lblOffset val="100"/>
        <c:noMultiLvlLbl val="0"/>
      </c:catAx>
      <c:valAx>
        <c:axId val="1657646623"/>
        <c:scaling>
          <c:orientation val="minMax"/>
          <c:max val="3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>
            <a:glow rad="127000">
              <a:schemeClr val="bg1"/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882047"/>
        <c:crosses val="autoZero"/>
        <c:crossBetween val="between"/>
        <c:majorUnit val="20000"/>
        <c:minorUnit val="5000"/>
      </c:valAx>
      <c:spPr>
        <a:noFill/>
        <a:ln>
          <a:noFill/>
        </a:ln>
        <a:effectLst>
          <a:glow rad="127000">
            <a:schemeClr val="bg1"/>
          </a:glow>
        </a:effectLst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[Board Member Materials 20210928 - ReStore Scenarios with FY22 and NFB Projections.xlsx]Net Profit Chart!PivotTable4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Net Profit  at each Profit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'Net Profit Chart'!$B$1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'Net Profit Chart'!$A$2:$A$9</c:f>
              <c:strCache>
                <c:ptCount val="7"/>
                <c:pt idx="0">
                  <c:v>10%</c:v>
                </c:pt>
                <c:pt idx="1">
                  <c:v>15%</c:v>
                </c:pt>
                <c:pt idx="2">
                  <c:v>20%</c:v>
                </c:pt>
                <c:pt idx="3">
                  <c:v>25%</c:v>
                </c:pt>
                <c:pt idx="4">
                  <c:v>30%</c:v>
                </c:pt>
                <c:pt idx="5">
                  <c:v>35%</c:v>
                </c:pt>
                <c:pt idx="6">
                  <c:v>40%</c:v>
                </c:pt>
              </c:strCache>
            </c:strRef>
          </c:cat>
          <c:val>
            <c:numRef>
              <c:f>'Net Profit Chart'!$B$2:$B$9</c:f>
              <c:numCache>
                <c:formatCode>_(* #,##0_);_(* \(#,##0\);_(* "-"??_);_(@_)</c:formatCode>
                <c:ptCount val="7"/>
                <c:pt idx="0">
                  <c:v>54215.046640633853</c:v>
                </c:pt>
                <c:pt idx="1">
                  <c:v>86180.549050613306</c:v>
                </c:pt>
                <c:pt idx="2">
                  <c:v>122207.74172869691</c:v>
                </c:pt>
                <c:pt idx="3">
                  <c:v>163123.29162225995</c:v>
                </c:pt>
                <c:pt idx="4">
                  <c:v>209994.52563424551</c:v>
                </c:pt>
                <c:pt idx="5">
                  <c:v>264223.88115517708</c:v>
                </c:pt>
                <c:pt idx="6">
                  <c:v>327691.62773589254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BA-F447-A962-5FA2F895A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55882047"/>
        <c:axId val="1657646623"/>
      </c:barChart>
      <c:catAx>
        <c:axId val="1655882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Profit Percentage</a:t>
                </a:r>
              </a:p>
            </c:rich>
          </c:tx>
          <c:layout>
            <c:manualLayout>
              <c:xMode val="edge"/>
              <c:yMode val="edge"/>
              <c:x val="0.39810176098384509"/>
              <c:y val="0.95384634201090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646623"/>
        <c:crosses val="autoZero"/>
        <c:auto val="1"/>
        <c:lblAlgn val="ctr"/>
        <c:lblOffset val="100"/>
        <c:noMultiLvlLbl val="0"/>
      </c:catAx>
      <c:valAx>
        <c:axId val="1657646623"/>
        <c:scaling>
          <c:orientation val="minMax"/>
          <c:max val="3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882047"/>
        <c:crosses val="autoZero"/>
        <c:crossBetween val="between"/>
        <c:majorUnit val="20000"/>
        <c:minorUnit val="500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[Board Member Materials 20210928 - ReStore Scenarios with FY22 and NFB Projections.xlsx]Revenue Chart!PivotTable4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Required at Net Profit %</a:t>
            </a:r>
          </a:p>
        </c:rich>
      </c:tx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043324461922154"/>
          <c:y val="4.808871186484355E-2"/>
          <c:w val="0.7932339420871507"/>
          <c:h val="0.86743278865911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'Revenue Chart'!$B$1</c:f>
              <c:strCache>
                <c:ptCount val="1"/>
                <c:pt idx="0">
                  <c:v> - Revenue</c:v>
                </c:pt>
              </c:strCache>
            </c:strRef>
          </c:tx>
          <c:spPr>
            <a:solidFill>
              <a:schemeClr val="accent6"/>
            </a:solidFill>
            <a:ln w="50800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CF0-E642-8030-E77CF880EED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CF0-E642-8030-E77CF880EED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CF0-E642-8030-E77CF880EED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CF0-E642-8030-E77CF880EED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CF0-E642-8030-E77CF880EED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CF0-E642-8030-E77CF880EED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CF0-E642-8030-E77CF880EED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F0-E642-8030-E77CF880EED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F0-E642-8030-E77CF880EEDF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F0-E642-8030-E77CF880EEDF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F0-E642-8030-E77CF880EEDF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F0-E642-8030-E77CF880EED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F0-E642-8030-E77CF880EEDF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F0-E642-8030-E77CF880E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 Chart'!$A$2:$A$9</c:f>
              <c:strCache>
                <c:ptCount val="7"/>
                <c:pt idx="0">
                  <c:v>10%</c:v>
                </c:pt>
                <c:pt idx="1">
                  <c:v>15%</c:v>
                </c:pt>
                <c:pt idx="2">
                  <c:v>20%</c:v>
                </c:pt>
                <c:pt idx="3">
                  <c:v>25%</c:v>
                </c:pt>
                <c:pt idx="4">
                  <c:v>30%</c:v>
                </c:pt>
                <c:pt idx="5">
                  <c:v>35%</c:v>
                </c:pt>
                <c:pt idx="6">
                  <c:v>40%</c:v>
                </c:pt>
              </c:strCache>
            </c:strRef>
          </c:cat>
          <c:val>
            <c:numRef>
              <c:f>'Revenue Chart'!$B$2:$B$9</c:f>
              <c:numCache>
                <c:formatCode>_(* #,##0_);_(* \(#,##0\);_(* "-"??_);_(@_)</c:formatCode>
                <c:ptCount val="7"/>
                <c:pt idx="0">
                  <c:v>542150.4664063385</c:v>
                </c:pt>
                <c:pt idx="1">
                  <c:v>574536.99367075542</c:v>
                </c:pt>
                <c:pt idx="2">
                  <c:v>611038.70864348451</c:v>
                </c:pt>
                <c:pt idx="3">
                  <c:v>652493.16648903978</c:v>
                </c:pt>
                <c:pt idx="4">
                  <c:v>699981.75211415172</c:v>
                </c:pt>
                <c:pt idx="5">
                  <c:v>754925.37472907733</c:v>
                </c:pt>
                <c:pt idx="6">
                  <c:v>819229.06933973136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F0-E642-8030-E77CF880EEDF}"/>
            </c:ext>
          </c:extLst>
        </c:ser>
        <c:ser>
          <c:idx val="1"/>
          <c:order val="1"/>
          <c:tx>
            <c:strRef>
              <c:f>'Revenue Chart'!$C$1</c:f>
              <c:strCache>
                <c:ptCount val="1"/>
                <c:pt idx="0">
                  <c:v>Sum of Net 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'Revenue Chart'!$A$2:$A$9</c:f>
              <c:strCache>
                <c:ptCount val="7"/>
                <c:pt idx="0">
                  <c:v>10%</c:v>
                </c:pt>
                <c:pt idx="1">
                  <c:v>15%</c:v>
                </c:pt>
                <c:pt idx="2">
                  <c:v>20%</c:v>
                </c:pt>
                <c:pt idx="3">
                  <c:v>25%</c:v>
                </c:pt>
                <c:pt idx="4">
                  <c:v>30%</c:v>
                </c:pt>
                <c:pt idx="5">
                  <c:v>35%</c:v>
                </c:pt>
                <c:pt idx="6">
                  <c:v>40%</c:v>
                </c:pt>
              </c:strCache>
            </c:strRef>
          </c:cat>
          <c:val>
            <c:numRef>
              <c:f>'Revenue Chart'!$C$2:$C$9</c:f>
              <c:numCache>
                <c:formatCode>_(* #,##0_);_(* \(#,##0\);_(* "-"??_);_(@_)</c:formatCode>
                <c:ptCount val="7"/>
                <c:pt idx="0">
                  <c:v>54215.046640633853</c:v>
                </c:pt>
                <c:pt idx="1">
                  <c:v>86180.549050613306</c:v>
                </c:pt>
                <c:pt idx="2">
                  <c:v>122207.74172869691</c:v>
                </c:pt>
                <c:pt idx="3">
                  <c:v>163123.29162225995</c:v>
                </c:pt>
                <c:pt idx="4">
                  <c:v>209994.52563424551</c:v>
                </c:pt>
                <c:pt idx="5">
                  <c:v>264223.88115517708</c:v>
                </c:pt>
                <c:pt idx="6">
                  <c:v>327691.62773589254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F0-E642-8030-E77CF880E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-27"/>
        <c:axId val="1655882047"/>
        <c:axId val="1657646623"/>
      </c:barChart>
      <c:catAx>
        <c:axId val="1655882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b" anchorCtr="1"/>
              <a:lstStyle/>
              <a:p>
                <a:pPr>
                  <a:defRPr sz="9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Profit Percentage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1"/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646623"/>
        <c:crosses val="autoZero"/>
        <c:auto val="1"/>
        <c:lblAlgn val="ctr"/>
        <c:lblOffset val="100"/>
        <c:noMultiLvlLbl val="0"/>
      </c:catAx>
      <c:valAx>
        <c:axId val="1657646623"/>
        <c:scaling>
          <c:orientation val="minMax"/>
          <c:max val="850000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882047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571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[Board Member Materials 20210928 - ReStore Scenarios with FY22 and NFB Projections.xlsx]Total Expenses!PivotTable4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Required at Net Profit %</a:t>
            </a:r>
          </a:p>
        </c:rich>
      </c:tx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/>
          </a:solidFill>
          <a:ln w="508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043324461922154"/>
          <c:y val="4.808871186484355E-2"/>
          <c:w val="0.7932339420871507"/>
          <c:h val="0.867432788659111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'Total Expenses'!$C$1</c:f>
              <c:strCache>
                <c:ptCount val="1"/>
                <c:pt idx="0">
                  <c:v>Sum of Credit Card Fees 1.3% of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'Total Expenses'!$A$2:$A$9</c:f>
              <c:strCache>
                <c:ptCount val="7"/>
                <c:pt idx="0">
                  <c:v>10%</c:v>
                </c:pt>
                <c:pt idx="1">
                  <c:v>15%</c:v>
                </c:pt>
                <c:pt idx="2">
                  <c:v>20%</c:v>
                </c:pt>
                <c:pt idx="3">
                  <c:v>25%</c:v>
                </c:pt>
                <c:pt idx="4">
                  <c:v>30%</c:v>
                </c:pt>
                <c:pt idx="5">
                  <c:v>35%</c:v>
                </c:pt>
                <c:pt idx="6">
                  <c:v>40%</c:v>
                </c:pt>
              </c:strCache>
            </c:strRef>
          </c:cat>
          <c:val>
            <c:numRef>
              <c:f>'Total Expenses'!$C$2:$C$9</c:f>
              <c:numCache>
                <c:formatCode>_(* #,##0_);_(* \(#,##0\);_(* "-"??_);_(@_)</c:formatCode>
                <c:ptCount val="7"/>
                <c:pt idx="0">
                  <c:v>7047.9560632824005</c:v>
                </c:pt>
                <c:pt idx="1">
                  <c:v>7468.9809177198204</c:v>
                </c:pt>
                <c:pt idx="2">
                  <c:v>7943.5032123652982</c:v>
                </c:pt>
                <c:pt idx="3">
                  <c:v>8482.4111643575161</c:v>
                </c:pt>
                <c:pt idx="4">
                  <c:v>9099.7627774839711</c:v>
                </c:pt>
                <c:pt idx="5">
                  <c:v>9814.0298714780056</c:v>
                </c:pt>
                <c:pt idx="6">
                  <c:v>10649.977901416507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E0-4742-B1DC-F71F8CB45C18}"/>
            </c:ext>
          </c:extLst>
        </c:ser>
        <c:ser>
          <c:idx val="0"/>
          <c:order val="0"/>
          <c:tx>
            <c:strRef>
              <c:f>'Total Expenses'!$B$1</c:f>
              <c:strCache>
                <c:ptCount val="1"/>
                <c:pt idx="0">
                  <c:v>Sum of Total Expense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'Total Expenses'!$A$2:$A$9</c:f>
              <c:strCache>
                <c:ptCount val="7"/>
                <c:pt idx="0">
                  <c:v>10%</c:v>
                </c:pt>
                <c:pt idx="1">
                  <c:v>15%</c:v>
                </c:pt>
                <c:pt idx="2">
                  <c:v>20%</c:v>
                </c:pt>
                <c:pt idx="3">
                  <c:v>25%</c:v>
                </c:pt>
                <c:pt idx="4">
                  <c:v>30%</c:v>
                </c:pt>
                <c:pt idx="5">
                  <c:v>35%</c:v>
                </c:pt>
                <c:pt idx="6">
                  <c:v>40%</c:v>
                </c:pt>
              </c:strCache>
            </c:strRef>
          </c:cat>
          <c:val>
            <c:numRef>
              <c:f>'Total Expenses'!$B$2:$B$9</c:f>
              <c:numCache>
                <c:formatCode>#,##0</c:formatCode>
                <c:ptCount val="7"/>
                <c:pt idx="0">
                  <c:v>464087.46370242228</c:v>
                </c:pt>
                <c:pt idx="1">
                  <c:v>464087.46370242228</c:v>
                </c:pt>
                <c:pt idx="2">
                  <c:v>464087.46370242228</c:v>
                </c:pt>
                <c:pt idx="3">
                  <c:v>464087.46370242228</c:v>
                </c:pt>
                <c:pt idx="4">
                  <c:v>464087.46370242228</c:v>
                </c:pt>
                <c:pt idx="5">
                  <c:v>464087.46370242228</c:v>
                </c:pt>
                <c:pt idx="6">
                  <c:v>464087.46370242228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E0-4742-B1DC-F71F8CB45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1655882047"/>
        <c:axId val="1657646623"/>
      </c:barChart>
      <c:lineChart>
        <c:grouping val="standard"/>
        <c:varyColors val="0"/>
        <c:ser>
          <c:idx val="2"/>
          <c:order val="2"/>
          <c:tx>
            <c:strRef>
              <c:f>'Total Expenses'!$D$1</c:f>
              <c:strCache>
                <c:ptCount val="1"/>
                <c:pt idx="0">
                  <c:v>Sum of COGS (Net of Other Income)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'Total Expenses'!$A$2:$A$9</c:f>
              <c:strCache>
                <c:ptCount val="7"/>
                <c:pt idx="0">
                  <c:v>10%</c:v>
                </c:pt>
                <c:pt idx="1">
                  <c:v>15%</c:v>
                </c:pt>
                <c:pt idx="2">
                  <c:v>20%</c:v>
                </c:pt>
                <c:pt idx="3">
                  <c:v>25%</c:v>
                </c:pt>
                <c:pt idx="4">
                  <c:v>30%</c:v>
                </c:pt>
                <c:pt idx="5">
                  <c:v>35%</c:v>
                </c:pt>
                <c:pt idx="6">
                  <c:v>40%</c:v>
                </c:pt>
              </c:strCache>
            </c:strRef>
          </c:cat>
          <c:val>
            <c:numRef>
              <c:f>'Total Expenses'!$D$2:$D$9</c:f>
              <c:numCache>
                <c:formatCode>_(* #,##0_);_(* \(#,##0\);_(* "-"??_);_(@_)</c:formatCode>
                <c:ptCount val="7"/>
                <c:pt idx="0">
                  <c:v>16800</c:v>
                </c:pt>
                <c:pt idx="1">
                  <c:v>16800</c:v>
                </c:pt>
                <c:pt idx="2">
                  <c:v>16800</c:v>
                </c:pt>
                <c:pt idx="3">
                  <c:v>16800</c:v>
                </c:pt>
                <c:pt idx="4">
                  <c:v>16800</c:v>
                </c:pt>
                <c:pt idx="5">
                  <c:v>16800</c:v>
                </c:pt>
                <c:pt idx="6">
                  <c:v>16800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6E0-4742-B1DC-F71F8CB45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882047"/>
        <c:axId val="1657646623"/>
      </c:lineChart>
      <c:catAx>
        <c:axId val="1655882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b" anchorCtr="1"/>
              <a:lstStyle/>
              <a:p>
                <a:pPr>
                  <a:defRPr sz="9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Profit Percentage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1"/>
            <a:lstStyle/>
            <a:p>
              <a:pPr>
                <a:defRPr sz="9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646623"/>
        <c:crosses val="autoZero"/>
        <c:auto val="1"/>
        <c:lblAlgn val="ctr"/>
        <c:lblOffset val="100"/>
        <c:noMultiLvlLbl val="0"/>
      </c:catAx>
      <c:valAx>
        <c:axId val="1657646623"/>
        <c:scaling>
          <c:orientation val="minMax"/>
          <c:max val="5000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882047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571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15" fmlaLink="$H$25" inc="5" max="50" page="10" val="10"/>
</file>

<file path=xl/ctrlProps/ctrlProp10.xml><?xml version="1.0" encoding="utf-8"?>
<formControlPr xmlns="http://schemas.microsoft.com/office/spreadsheetml/2009/9/main" objectType="Spin" dx="22" fmlaLink="$K$29" max="100" min="25" page="10" val="39"/>
</file>

<file path=xl/ctrlProps/ctrlProp11.xml><?xml version="1.0" encoding="utf-8"?>
<formControlPr xmlns="http://schemas.microsoft.com/office/spreadsheetml/2009/9/main" objectType="Spin" dx="22" fmlaLink="$H$29" max="100" min="30" page="10" val="38"/>
</file>

<file path=xl/ctrlProps/ctrlProp12.xml><?xml version="1.0" encoding="utf-8"?>
<formControlPr xmlns="http://schemas.microsoft.com/office/spreadsheetml/2009/9/main" objectType="Spin" dx="22" fmlaLink="$E$27" max="100" min="30" page="10" val="38"/>
</file>

<file path=xl/ctrlProps/ctrlProp13.xml><?xml version="1.0" encoding="utf-8"?>
<formControlPr xmlns="http://schemas.microsoft.com/office/spreadsheetml/2009/9/main" objectType="Spin" dx="22" fmlaLink="$H$27" max="100" min="25" page="10" val="39"/>
</file>

<file path=xl/ctrlProps/ctrlProp14.xml><?xml version="1.0" encoding="utf-8"?>
<formControlPr xmlns="http://schemas.microsoft.com/office/spreadsheetml/2009/9/main" objectType="Spin" dx="22" fmlaLink="$L$26" max="100" min="30" page="10" val="32"/>
</file>

<file path=xl/ctrlProps/ctrlProp15.xml><?xml version="1.0" encoding="utf-8"?>
<formControlPr xmlns="http://schemas.microsoft.com/office/spreadsheetml/2009/9/main" objectType="Spin" dx="22" fmlaLink="$O$26" max="100" min="30" page="10" val="40"/>
</file>

<file path=xl/ctrlProps/ctrlProp16.xml><?xml version="1.0" encoding="utf-8"?>
<formControlPr xmlns="http://schemas.microsoft.com/office/spreadsheetml/2009/9/main" objectType="Spin" dx="22" fmlaLink="$R$26" max="100" min="30" page="10" val="40"/>
</file>

<file path=xl/ctrlProps/ctrlProp17.xml><?xml version="1.0" encoding="utf-8"?>
<formControlPr xmlns="http://schemas.microsoft.com/office/spreadsheetml/2009/9/main" objectType="Spin" dx="22" fmlaLink="$U$26" max="100" min="30" page="10" val="50"/>
</file>

<file path=xl/ctrlProps/ctrlProp18.xml><?xml version="1.0" encoding="utf-8"?>
<formControlPr xmlns="http://schemas.microsoft.com/office/spreadsheetml/2009/9/main" objectType="Spin" dx="22" fmlaLink="$X$26" max="100" min="30" page="10" val="31"/>
</file>

<file path=xl/ctrlProps/ctrlProp19.xml><?xml version="1.0" encoding="utf-8"?>
<formControlPr xmlns="http://schemas.microsoft.com/office/spreadsheetml/2009/9/main" objectType="Spin" dx="22" fmlaLink="$AA$26" max="100" min="30" page="10" val="43"/>
</file>

<file path=xl/ctrlProps/ctrlProp2.xml><?xml version="1.0" encoding="utf-8"?>
<formControlPr xmlns="http://schemas.microsoft.com/office/spreadsheetml/2009/9/main" objectType="Spin" dx="15" fmlaLink="$L$25" inc="5" max="50" page="10" val="15"/>
</file>

<file path=xl/ctrlProps/ctrlProp20.xml><?xml version="1.0" encoding="utf-8"?>
<formControlPr xmlns="http://schemas.microsoft.com/office/spreadsheetml/2009/9/main" objectType="Spin" dx="22" fmlaLink="$O$28" max="50" min="10" page="10" val="15"/>
</file>

<file path=xl/ctrlProps/ctrlProp21.xml><?xml version="1.0" encoding="utf-8"?>
<formControlPr xmlns="http://schemas.microsoft.com/office/spreadsheetml/2009/9/main" objectType="Spin" dx="22" fmlaLink="$U$28" max="50" min="15" page="10" val="25"/>
</file>

<file path=xl/ctrlProps/ctrlProp22.xml><?xml version="1.0" encoding="utf-8"?>
<formControlPr xmlns="http://schemas.microsoft.com/office/spreadsheetml/2009/9/main" objectType="Spin" dx="22" fmlaLink="$AA$28" max="50" min="10" page="10" val="14"/>
</file>

<file path=xl/ctrlProps/ctrlProp3.xml><?xml version="1.0" encoding="utf-8"?>
<formControlPr xmlns="http://schemas.microsoft.com/office/spreadsheetml/2009/9/main" objectType="Spin" dx="15" fmlaLink="P$25" inc="5" max="50" page="10" val="20"/>
</file>

<file path=xl/ctrlProps/ctrlProp4.xml><?xml version="1.0" encoding="utf-8"?>
<formControlPr xmlns="http://schemas.microsoft.com/office/spreadsheetml/2009/9/main" objectType="Spin" dx="15" fmlaLink="T$25" inc="5" max="50" page="10" val="25"/>
</file>

<file path=xl/ctrlProps/ctrlProp5.xml><?xml version="1.0" encoding="utf-8"?>
<formControlPr xmlns="http://schemas.microsoft.com/office/spreadsheetml/2009/9/main" objectType="Spin" dx="15" fmlaLink="X$25" inc="5" max="50" page="10" val="30"/>
</file>

<file path=xl/ctrlProps/ctrlProp6.xml><?xml version="1.0" encoding="utf-8"?>
<formControlPr xmlns="http://schemas.microsoft.com/office/spreadsheetml/2009/9/main" objectType="Spin" dx="15" fmlaLink="AB$25" inc="5" max="50" page="10" val="35"/>
</file>

<file path=xl/ctrlProps/ctrlProp7.xml><?xml version="1.0" encoding="utf-8"?>
<formControlPr xmlns="http://schemas.microsoft.com/office/spreadsheetml/2009/9/main" objectType="Spin" dx="15" fmlaLink="AF$25" inc="5" max="50" page="10" val="40"/>
</file>

<file path=xl/ctrlProps/ctrlProp8.xml><?xml version="1.0" encoding="utf-8"?>
<formControlPr xmlns="http://schemas.microsoft.com/office/spreadsheetml/2009/9/main" objectType="Spin" dx="15" fmlaLink="$J$25" inc="5" max="50" page="10" val="10"/>
</file>

<file path=xl/ctrlProps/ctrlProp9.xml><?xml version="1.0" encoding="utf-8"?>
<formControlPr xmlns="http://schemas.microsoft.com/office/spreadsheetml/2009/9/main" objectType="Spin" dx="22" fmlaLink="$H$29" max="100" min="30" page="10" val="36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743858</xdr:colOff>
      <xdr:row>2</xdr:row>
      <xdr:rowOff>8445</xdr:rowOff>
    </xdr:from>
    <xdr:to>
      <xdr:col>15</xdr:col>
      <xdr:colOff>798287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ADED72-28DE-4944-9245-636D815FD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417287</xdr:colOff>
      <xdr:row>1</xdr:row>
      <xdr:rowOff>163286</xdr:rowOff>
    </xdr:from>
    <xdr:to>
      <xdr:col>31</xdr:col>
      <xdr:colOff>108857</xdr:colOff>
      <xdr:row>27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440903-6883-A64E-9EFE-DAAFB146E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441677</xdr:colOff>
      <xdr:row>0</xdr:row>
      <xdr:rowOff>0</xdr:rowOff>
    </xdr:from>
    <xdr:to>
      <xdr:col>12</xdr:col>
      <xdr:colOff>366888</xdr:colOff>
      <xdr:row>30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286374-305C-2549-8083-20E4FAEED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663222</xdr:colOff>
      <xdr:row>7</xdr:row>
      <xdr:rowOff>28222</xdr:rowOff>
    </xdr:from>
    <xdr:ext cx="184731" cy="26443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A30A0D-7BCD-564E-8509-0E9E6EC22A0C}"/>
            </a:ext>
          </a:extLst>
        </xdr:cNvPr>
        <xdr:cNvSpPr txBox="1"/>
      </xdr:nvSpPr>
      <xdr:spPr>
        <a:xfrm>
          <a:off x="10964333" y="1411111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0.85484</cdr:x>
      <cdr:y>0.82857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5D46C95-4453-7540-97C7-C7A9E3C48A19}"/>
            </a:ext>
          </a:extLst>
        </cdr:cNvPr>
        <cdr:cNvSpPr txBox="1"/>
      </cdr:nvSpPr>
      <cdr:spPr>
        <a:xfrm xmlns:a="http://schemas.openxmlformats.org/drawingml/2006/main">
          <a:off x="5651500" y="504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0.04186</cdr:x>
      <cdr:y>0.01029</cdr:y>
    </cdr:from>
    <cdr:to>
      <cdr:x>0.16686</cdr:x>
      <cdr:y>0.0303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3812A3D-9647-DB44-84F3-37067A75440E}"/>
            </a:ext>
          </a:extLst>
        </cdr:cNvPr>
        <cdr:cNvSpPr txBox="1"/>
      </cdr:nvSpPr>
      <cdr:spPr>
        <a:xfrm xmlns:a="http://schemas.openxmlformats.org/drawingml/2006/main">
          <a:off x="310523" y="62280"/>
          <a:ext cx="927276" cy="121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182880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649110</xdr:colOff>
      <xdr:row>0</xdr:row>
      <xdr:rowOff>0</xdr:rowOff>
    </xdr:from>
    <xdr:to>
      <xdr:col>12</xdr:col>
      <xdr:colOff>366887</xdr:colOff>
      <xdr:row>30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203340-6E73-6A40-A5D8-22539E520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663222</xdr:colOff>
      <xdr:row>7</xdr:row>
      <xdr:rowOff>28222</xdr:rowOff>
    </xdr:from>
    <xdr:ext cx="184731" cy="26443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7F57FF-2D37-594A-A2DC-B22B401E5E5D}"/>
            </a:ext>
          </a:extLst>
        </xdr:cNvPr>
        <xdr:cNvSpPr txBox="1"/>
      </xdr:nvSpPr>
      <xdr:spPr>
        <a:xfrm>
          <a:off x="10886722" y="1361722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0.85484</cdr:x>
      <cdr:y>0.82857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5D46C95-4453-7540-97C7-C7A9E3C48A19}"/>
            </a:ext>
          </a:extLst>
        </cdr:cNvPr>
        <cdr:cNvSpPr txBox="1"/>
      </cdr:nvSpPr>
      <cdr:spPr>
        <a:xfrm xmlns:a="http://schemas.openxmlformats.org/drawingml/2006/main">
          <a:off x="5651500" y="504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0.04186</cdr:x>
      <cdr:y>0.01029</cdr:y>
    </cdr:from>
    <cdr:to>
      <cdr:x>0.16686</cdr:x>
      <cdr:y>0.0303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3812A3D-9647-DB44-84F3-37067A75440E}"/>
            </a:ext>
          </a:extLst>
        </cdr:cNvPr>
        <cdr:cNvSpPr txBox="1"/>
      </cdr:nvSpPr>
      <cdr:spPr>
        <a:xfrm xmlns:a="http://schemas.openxmlformats.org/drawingml/2006/main">
          <a:off x="310523" y="62280"/>
          <a:ext cx="927276" cy="121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182880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25</xdr:row>
          <xdr:rowOff>114300</xdr:rowOff>
        </xdr:from>
        <xdr:to>
          <xdr:col>5</xdr:col>
          <xdr:colOff>771525</xdr:colOff>
          <xdr:row>28</xdr:row>
          <xdr:rowOff>28575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EBD7B9D1-4FFF-5C46-93FB-87E0902EE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25</xdr:row>
          <xdr:rowOff>66675</xdr:rowOff>
        </xdr:from>
        <xdr:to>
          <xdr:col>8</xdr:col>
          <xdr:colOff>752475</xdr:colOff>
          <xdr:row>27</xdr:row>
          <xdr:rowOff>161925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D94A59EF-656F-9F48-AE9D-14F8F72E3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24</xdr:row>
          <xdr:rowOff>66675</xdr:rowOff>
        </xdr:from>
        <xdr:to>
          <xdr:col>10</xdr:col>
          <xdr:colOff>542925</xdr:colOff>
          <xdr:row>26</xdr:row>
          <xdr:rowOff>161925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24</xdr:row>
          <xdr:rowOff>66675</xdr:rowOff>
        </xdr:from>
        <xdr:to>
          <xdr:col>13</xdr:col>
          <xdr:colOff>561975</xdr:colOff>
          <xdr:row>26</xdr:row>
          <xdr:rowOff>180975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104775</xdr:colOff>
          <xdr:row>24</xdr:row>
          <xdr:rowOff>66675</xdr:rowOff>
        </xdr:from>
        <xdr:to>
          <xdr:col>16</xdr:col>
          <xdr:colOff>561975</xdr:colOff>
          <xdr:row>26</xdr:row>
          <xdr:rowOff>180975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104775</xdr:colOff>
          <xdr:row>24</xdr:row>
          <xdr:rowOff>66675</xdr:rowOff>
        </xdr:from>
        <xdr:to>
          <xdr:col>19</xdr:col>
          <xdr:colOff>561975</xdr:colOff>
          <xdr:row>26</xdr:row>
          <xdr:rowOff>180975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104775</xdr:colOff>
          <xdr:row>24</xdr:row>
          <xdr:rowOff>66675</xdr:rowOff>
        </xdr:from>
        <xdr:to>
          <xdr:col>22</xdr:col>
          <xdr:colOff>561975</xdr:colOff>
          <xdr:row>26</xdr:row>
          <xdr:rowOff>180975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24</xdr:row>
          <xdr:rowOff>66675</xdr:rowOff>
        </xdr:from>
        <xdr:to>
          <xdr:col>25</xdr:col>
          <xdr:colOff>561975</xdr:colOff>
          <xdr:row>26</xdr:row>
          <xdr:rowOff>180975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47625</xdr:rowOff>
        </xdr:from>
        <xdr:to>
          <xdr:col>15</xdr:col>
          <xdr:colOff>676275</xdr:colOff>
          <xdr:row>29</xdr:row>
          <xdr:rowOff>161925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228600</xdr:colOff>
          <xdr:row>27</xdr:row>
          <xdr:rowOff>66675</xdr:rowOff>
        </xdr:from>
        <xdr:to>
          <xdr:col>21</xdr:col>
          <xdr:colOff>695325</xdr:colOff>
          <xdr:row>29</xdr:row>
          <xdr:rowOff>180975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257175</xdr:colOff>
          <xdr:row>27</xdr:row>
          <xdr:rowOff>38100</xdr:rowOff>
        </xdr:from>
        <xdr:to>
          <xdr:col>27</xdr:col>
          <xdr:colOff>723900</xdr:colOff>
          <xdr:row>29</xdr:row>
          <xdr:rowOff>152400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0.85484</cdr:x>
      <cdr:y>0.82857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5D46C95-4453-7540-97C7-C7A9E3C48A19}"/>
            </a:ext>
          </a:extLst>
        </cdr:cNvPr>
        <cdr:cNvSpPr txBox="1"/>
      </cdr:nvSpPr>
      <cdr:spPr>
        <a:xfrm xmlns:a="http://schemas.openxmlformats.org/drawingml/2006/main">
          <a:off x="5651500" y="504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0.04186</cdr:x>
      <cdr:y>0.01029</cdr:y>
    </cdr:from>
    <cdr:to>
      <cdr:x>0.16686</cdr:x>
      <cdr:y>0.0303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3812A3D-9647-DB44-84F3-37067A75440E}"/>
            </a:ext>
          </a:extLst>
        </cdr:cNvPr>
        <cdr:cNvSpPr txBox="1"/>
      </cdr:nvSpPr>
      <cdr:spPr>
        <a:xfrm xmlns:a="http://schemas.openxmlformats.org/drawingml/2006/main">
          <a:off x="310523" y="62280"/>
          <a:ext cx="927276" cy="121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182880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0.85484</cdr:x>
      <cdr:y>0.82857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5D46C95-4453-7540-97C7-C7A9E3C48A19}"/>
            </a:ext>
          </a:extLst>
        </cdr:cNvPr>
        <cdr:cNvSpPr txBox="1"/>
      </cdr:nvSpPr>
      <cdr:spPr>
        <a:xfrm xmlns:a="http://schemas.openxmlformats.org/drawingml/2006/main">
          <a:off x="5651500" y="504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24</xdr:row>
          <xdr:rowOff>28575</xdr:rowOff>
        </xdr:from>
        <xdr:to>
          <xdr:col>8</xdr:col>
          <xdr:colOff>0</xdr:colOff>
          <xdr:row>26</xdr:row>
          <xdr:rowOff>9525</xdr:rowOff>
        </xdr:to>
        <xdr:sp macro="" textlink="">
          <xdr:nvSpPr>
            <xdr:cNvPr id="10241" name="Spinner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8AACE616-6159-2743-A6EA-25917F5A72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24</xdr:row>
          <xdr:rowOff>28575</xdr:rowOff>
        </xdr:from>
        <xdr:to>
          <xdr:col>12</xdr:col>
          <xdr:colOff>0</xdr:colOff>
          <xdr:row>26</xdr:row>
          <xdr:rowOff>9525</xdr:rowOff>
        </xdr:to>
        <xdr:sp macro="" textlink="">
          <xdr:nvSpPr>
            <xdr:cNvPr id="10242" name="Spinner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38344C27-0CCE-7E4E-B53F-BCF7DDE185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24</xdr:row>
          <xdr:rowOff>28575</xdr:rowOff>
        </xdr:from>
        <xdr:to>
          <xdr:col>16</xdr:col>
          <xdr:colOff>0</xdr:colOff>
          <xdr:row>26</xdr:row>
          <xdr:rowOff>9525</xdr:rowOff>
        </xdr:to>
        <xdr:sp macro="" textlink="">
          <xdr:nvSpPr>
            <xdr:cNvPr id="10243" name="Spinner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69914BD9-DC45-DE42-A491-6DFBCE0FE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28575</xdr:colOff>
          <xdr:row>24</xdr:row>
          <xdr:rowOff>28575</xdr:rowOff>
        </xdr:from>
        <xdr:to>
          <xdr:col>20</xdr:col>
          <xdr:colOff>0</xdr:colOff>
          <xdr:row>26</xdr:row>
          <xdr:rowOff>9525</xdr:rowOff>
        </xdr:to>
        <xdr:sp macro="" textlink="">
          <xdr:nvSpPr>
            <xdr:cNvPr id="10244" name="Spinner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6E91DDF1-0EC6-534A-86B5-2CBC5BE42B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24</xdr:row>
          <xdr:rowOff>28575</xdr:rowOff>
        </xdr:from>
        <xdr:to>
          <xdr:col>24</xdr:col>
          <xdr:colOff>0</xdr:colOff>
          <xdr:row>26</xdr:row>
          <xdr:rowOff>9525</xdr:rowOff>
        </xdr:to>
        <xdr:sp macro="" textlink="">
          <xdr:nvSpPr>
            <xdr:cNvPr id="10245" name="Spinner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890A7BAF-2C32-7C47-84B0-EA965277A3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28575</xdr:colOff>
          <xdr:row>24</xdr:row>
          <xdr:rowOff>28575</xdr:rowOff>
        </xdr:from>
        <xdr:to>
          <xdr:col>28</xdr:col>
          <xdr:colOff>0</xdr:colOff>
          <xdr:row>26</xdr:row>
          <xdr:rowOff>9525</xdr:rowOff>
        </xdr:to>
        <xdr:sp macro="" textlink="">
          <xdr:nvSpPr>
            <xdr:cNvPr id="10246" name="Spinner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E347836E-AEF7-B044-8B71-5B87318658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28575</xdr:colOff>
          <xdr:row>24</xdr:row>
          <xdr:rowOff>28575</xdr:rowOff>
        </xdr:from>
        <xdr:to>
          <xdr:col>32</xdr:col>
          <xdr:colOff>0</xdr:colOff>
          <xdr:row>26</xdr:row>
          <xdr:rowOff>9525</xdr:rowOff>
        </xdr:to>
        <xdr:sp macro="" textlink="">
          <xdr:nvSpPr>
            <xdr:cNvPr id="10247" name="Spinner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97849E56-27F3-5D41-BEDF-73FD277295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24</xdr:row>
          <xdr:rowOff>28575</xdr:rowOff>
        </xdr:from>
        <xdr:to>
          <xdr:col>10</xdr:col>
          <xdr:colOff>0</xdr:colOff>
          <xdr:row>26</xdr:row>
          <xdr:rowOff>9525</xdr:rowOff>
        </xdr:to>
        <xdr:sp macro="" textlink="">
          <xdr:nvSpPr>
            <xdr:cNvPr id="7171" name="Spinner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439A91BA-6D45-B043-B731-02E7480D5D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304800</xdr:colOff>
          <xdr:row>27</xdr:row>
          <xdr:rowOff>114300</xdr:rowOff>
        </xdr:from>
        <xdr:to>
          <xdr:col>11</xdr:col>
          <xdr:colOff>771525</xdr:colOff>
          <xdr:row>30</xdr:row>
          <xdr:rowOff>28575</xdr:rowOff>
        </xdr:to>
        <xdr:sp macro="" textlink="">
          <xdr:nvSpPr>
            <xdr:cNvPr id="9220" name="Spinner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9BA51489-E24E-D044-AB27-ADE85F681C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304800</xdr:colOff>
          <xdr:row>27</xdr:row>
          <xdr:rowOff>114300</xdr:rowOff>
        </xdr:from>
        <xdr:to>
          <xdr:col>8</xdr:col>
          <xdr:colOff>771525</xdr:colOff>
          <xdr:row>30</xdr:row>
          <xdr:rowOff>28575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314325</xdr:colOff>
          <xdr:row>27</xdr:row>
          <xdr:rowOff>66675</xdr:rowOff>
        </xdr:from>
        <xdr:to>
          <xdr:col>11</xdr:col>
          <xdr:colOff>752475</xdr:colOff>
          <xdr:row>29</xdr:row>
          <xdr:rowOff>161925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1006122</xdr:colOff>
      <xdr:row>0</xdr:row>
      <xdr:rowOff>0</xdr:rowOff>
    </xdr:from>
    <xdr:to>
      <xdr:col>10</xdr:col>
      <xdr:colOff>211666</xdr:colOff>
      <xdr:row>28</xdr:row>
      <xdr:rowOff>28220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9F3ED9-B24A-5E45-A86D-33A8FD42E0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0</xdr:row>
      <xdr:rowOff>42334</xdr:rowOff>
    </xdr:from>
    <xdr:ext cx="184731" cy="26443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DF11FE-6428-2D4D-BCEE-5886703C3C9A}"/>
            </a:ext>
          </a:extLst>
        </xdr:cNvPr>
        <xdr:cNvSpPr txBox="1"/>
      </xdr:nvSpPr>
      <xdr:spPr>
        <a:xfrm>
          <a:off x="3118556" y="42334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0.85484</cdr:x>
      <cdr:y>0.82857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5D46C95-4453-7540-97C7-C7A9E3C48A19}"/>
            </a:ext>
          </a:extLst>
        </cdr:cNvPr>
        <cdr:cNvSpPr txBox="1"/>
      </cdr:nvSpPr>
      <cdr:spPr>
        <a:xfrm xmlns:a="http://schemas.openxmlformats.org/drawingml/2006/main">
          <a:off x="5651500" y="504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wright\Desktop\restorestuff%20(1)\Copy%20of%20Working%20Copy%20FY22%20Budget%20by%20Class%20updated%205-26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s/FY22%20Budget%20Work/Payroll%20allocation%20by%20department%204-14-21%20from%20R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acilities/Facilities%20Analysis/ReStore%20Site%20Requir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ing"/>
      <sheetName val="ReStore South 2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"/>
      <sheetName val="Benefits"/>
      <sheetName val="Worker Comp"/>
    </sheetNames>
    <sheetDataSet>
      <sheetData sheetId="0" refreshError="1">
        <row r="37">
          <cell r="H37">
            <v>207359.35999999999</v>
          </cell>
          <cell r="R37">
            <v>176938.59999999998</v>
          </cell>
          <cell r="T37">
            <v>176938.59999999998</v>
          </cell>
        </row>
        <row r="38">
          <cell r="R38">
            <v>2727.9471224222762</v>
          </cell>
          <cell r="T38">
            <v>2727.9471224222762</v>
          </cell>
        </row>
        <row r="55">
          <cell r="R55">
            <v>15305.188899999997</v>
          </cell>
          <cell r="T55">
            <v>15305.188899999997</v>
          </cell>
        </row>
        <row r="58">
          <cell r="R58">
            <v>21892.621999999999</v>
          </cell>
          <cell r="T58">
            <v>21892.621999999999</v>
          </cell>
        </row>
        <row r="61">
          <cell r="R61">
            <v>8305.8239799999992</v>
          </cell>
          <cell r="T61">
            <v>8305.8239799999992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Analysis"/>
      <sheetName val="Sheet2"/>
      <sheetName val="Sheet3"/>
    </sheetNames>
    <sheetDataSet>
      <sheetData sheetId="0"/>
      <sheetData sheetId="1">
        <row r="18">
          <cell r="F18">
            <v>1968965.44</v>
          </cell>
          <cell r="I18">
            <v>1891373.13</v>
          </cell>
        </row>
        <row r="22">
          <cell r="F22">
            <v>253904.85</v>
          </cell>
          <cell r="I22">
            <v>130243.66</v>
          </cell>
        </row>
        <row r="23">
          <cell r="F23">
            <v>32050.71</v>
          </cell>
          <cell r="I23">
            <v>40577.589999999997</v>
          </cell>
        </row>
        <row r="24">
          <cell r="F24">
            <v>431.04</v>
          </cell>
          <cell r="I24">
            <v>379.42</v>
          </cell>
        </row>
        <row r="26">
          <cell r="F26">
            <v>824697.14</v>
          </cell>
          <cell r="I26">
            <v>731801.69</v>
          </cell>
        </row>
        <row r="27">
          <cell r="F27">
            <v>222286.88</v>
          </cell>
          <cell r="I27">
            <v>202335.65</v>
          </cell>
        </row>
        <row r="28">
          <cell r="F28">
            <v>24389</v>
          </cell>
          <cell r="I28">
            <v>23820.44</v>
          </cell>
        </row>
        <row r="30">
          <cell r="F30">
            <v>376.32</v>
          </cell>
          <cell r="I30">
            <v>374.57</v>
          </cell>
        </row>
        <row r="31">
          <cell r="F31">
            <v>94.44</v>
          </cell>
          <cell r="I31">
            <v>35.99</v>
          </cell>
        </row>
        <row r="32">
          <cell r="F32">
            <v>365.26</v>
          </cell>
          <cell r="I32">
            <v>862.82</v>
          </cell>
        </row>
        <row r="33">
          <cell r="F33">
            <v>1486.67</v>
          </cell>
          <cell r="I33">
            <v>2241.56</v>
          </cell>
        </row>
        <row r="34">
          <cell r="F34">
            <v>12.5</v>
          </cell>
          <cell r="I34">
            <v>4692.5</v>
          </cell>
        </row>
        <row r="35">
          <cell r="F35">
            <v>133.52000000000001</v>
          </cell>
          <cell r="I35">
            <v>71.72</v>
          </cell>
        </row>
        <row r="36">
          <cell r="F36">
            <v>8909.7999999999993</v>
          </cell>
          <cell r="I36">
            <v>14994.26</v>
          </cell>
        </row>
        <row r="37">
          <cell r="F37">
            <v>42283.68</v>
          </cell>
          <cell r="I37">
            <v>37608.1</v>
          </cell>
        </row>
        <row r="38">
          <cell r="F38">
            <v>4505.29</v>
          </cell>
          <cell r="I38">
            <v>4095.82</v>
          </cell>
        </row>
        <row r="39">
          <cell r="F39">
            <v>4237.9399999999996</v>
          </cell>
          <cell r="I39">
            <v>1172.8399999999999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4367.503885532409" createdVersion="7" refreshedVersion="7" minRefreshableVersion="3" recordCount="7">
  <cacheSource type="worksheet">
    <worksheetSource ref="C6:P13" sheet="Source Data"/>
  </cacheSource>
  <cacheFields count="14">
    <cacheField name="Revenue" numFmtId="165">
      <sharedItems containsSemiMixedTypes="0" containsString="0" containsNumber="1" minValue="542150.4664063385" maxValue="819229.06933973136"/>
    </cacheField>
    <cacheField name="Credit Card Fees 1.3% of Sales" numFmtId="165">
      <sharedItems containsSemiMixedTypes="0" containsString="0" containsNumber="1" minValue="7047.9560632824005" maxValue="10649.977901416507"/>
    </cacheField>
    <cacheField name="COGS (Net of Other Income)" numFmtId="165">
      <sharedItems containsSemiMixedTypes="0" containsString="0" containsNumber="1" containsInteger="1" minValue="16800" maxValue="16800"/>
    </cacheField>
    <cacheField name="Gross Profit" numFmtId="165">
      <sharedItems containsSemiMixedTypes="0" containsString="0" containsNumber="1" minValue="518302.51034305611" maxValue="791779.09143831488"/>
    </cacheField>
    <cacheField name="Marketing" numFmtId="165">
      <sharedItems containsSemiMixedTypes="0" containsString="0" containsNumber="1" containsInteger="1" minValue="2600" maxValue="2600"/>
    </cacheField>
    <cacheField name="Occupancy" numFmtId="165">
      <sharedItems containsSemiMixedTypes="0" containsString="0" containsNumber="1" minValue="222094.78200000001" maxValue="222094.78200000001"/>
    </cacheField>
    <cacheField name="Payroll Salary &amp; Wages" numFmtId="165">
      <sharedItems containsSemiMixedTypes="0" containsString="0" containsNumber="1" minValue="225170.18200242225" maxValue="225170.18200242225"/>
    </cacheField>
    <cacheField name="Other Expense" numFmtId="165">
      <sharedItems containsSemiMixedTypes="0" containsString="0" containsNumber="1" minValue="14222.4997" maxValue="14222.4997"/>
    </cacheField>
    <cacheField name="Total Expense" numFmtId="165">
      <sharedItems containsSemiMixedTypes="0" containsString="0" containsNumber="1" minValue="464087.46370242228" maxValue="464087.46370242228"/>
    </cacheField>
    <cacheField name="Net Profit" numFmtId="165">
      <sharedItems containsSemiMixedTypes="0" containsString="0" containsNumber="1" minValue="54215.046640633853" maxValue="327691.62773589254"/>
    </cacheField>
    <cacheField name="Net Profit %" numFmtId="9">
      <sharedItems containsSemiMixedTypes="0" containsString="0" containsNumber="1" minValue="0.1" maxValue="0.4" count="7">
        <n v="0.1"/>
        <n v="0.15"/>
        <n v="0.2"/>
        <n v="0.25"/>
        <n v="0.3"/>
        <n v="0.35000000000000003"/>
        <n v="0.4"/>
      </sharedItems>
    </cacheField>
    <cacheField name="Square Footage" numFmtId="0">
      <sharedItems containsSemiMixedTypes="0" containsString="0" containsNumber="1" containsInteger="1" minValue="15000" maxValue="15000"/>
    </cacheField>
    <cacheField name="Revenue Per Square Foot" numFmtId="44">
      <sharedItems containsSemiMixedTypes="0" containsString="0" containsNumber="1" minValue="36.143364427089232" maxValue="54.615271289315423"/>
    </cacheField>
    <cacheField name="Occupancy Cost Per Square Footage" numFmtId="44">
      <sharedItems containsSemiMixedTypes="0" containsString="0" containsNumber="1" minValue="14.8063188" maxValue="14.80631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n v="542150.4664063385"/>
    <n v="7047.9560632824005"/>
    <n v="16800"/>
    <n v="518302.51034305611"/>
    <n v="2600"/>
    <n v="222094.78200000001"/>
    <n v="225170.18200242225"/>
    <n v="14222.4997"/>
    <n v="464087.46370242228"/>
    <n v="54215.046640633853"/>
    <x v="0"/>
    <n v="15000"/>
    <n v="36.143364427089232"/>
    <n v="14.8063188"/>
  </r>
  <r>
    <n v="574536.99367075542"/>
    <n v="7468.9809177198204"/>
    <n v="16800"/>
    <n v="550268.01275303564"/>
    <n v="2600"/>
    <n v="222094.78200000001"/>
    <n v="225170.18200242225"/>
    <n v="14222.4997"/>
    <n v="464087.46370242228"/>
    <n v="86180.549050613306"/>
    <x v="1"/>
    <n v="15000"/>
    <n v="38.302466244717024"/>
    <n v="14.8063188"/>
  </r>
  <r>
    <n v="611038.70864348451"/>
    <n v="7943.5032123652982"/>
    <n v="16800"/>
    <n v="586295.20543111919"/>
    <n v="2600"/>
    <n v="222094.78200000001"/>
    <n v="225170.18200242225"/>
    <n v="14222.4997"/>
    <n v="464087.46370242228"/>
    <n v="122207.74172869691"/>
    <x v="2"/>
    <n v="15000"/>
    <n v="40.735913909565632"/>
    <n v="14.8063188"/>
  </r>
  <r>
    <n v="652493.16648903978"/>
    <n v="8482.4111643575161"/>
    <n v="16800"/>
    <n v="627210.75532468222"/>
    <n v="2600"/>
    <n v="222094.78200000001"/>
    <n v="225170.18200242225"/>
    <n v="14222.4997"/>
    <n v="464087.46370242228"/>
    <n v="163123.29162225995"/>
    <x v="3"/>
    <n v="15000"/>
    <n v="43.499544432602654"/>
    <n v="14.8063188"/>
  </r>
  <r>
    <n v="699981.75211415172"/>
    <n v="9099.7627774839711"/>
    <n v="16800"/>
    <n v="674081.9893366677"/>
    <n v="2600"/>
    <n v="222094.78200000001"/>
    <n v="225170.18200242225"/>
    <n v="14222.4997"/>
    <n v="464087.46370242228"/>
    <n v="209994.52563424551"/>
    <x v="4"/>
    <n v="15000"/>
    <n v="46.665450140943449"/>
    <n v="14.8063188"/>
  </r>
  <r>
    <n v="754925.37472907733"/>
    <n v="9814.0298714780056"/>
    <n v="16800"/>
    <n v="728311.34485759935"/>
    <n v="2600"/>
    <n v="222094.78200000001"/>
    <n v="225170.18200242225"/>
    <n v="14222.4997"/>
    <n v="464087.46370242228"/>
    <n v="264223.88115517708"/>
    <x v="5"/>
    <n v="15000"/>
    <n v="50.328358315271821"/>
    <n v="14.8063188"/>
  </r>
  <r>
    <n v="819229.06933973136"/>
    <n v="10649.977901416507"/>
    <n v="16800"/>
    <n v="791779.09143831488"/>
    <n v="2600"/>
    <n v="222094.78200000001"/>
    <n v="225170.18200242225"/>
    <n v="14222.4997"/>
    <n v="464087.46370242228"/>
    <n v="327691.62773589254"/>
    <x v="6"/>
    <n v="15000"/>
    <n v="54.615271289315423"/>
    <n v="14.80631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5">
  <location ref="A1:B9" firstHeaderRow="1" firstDataRow="1" firstDataCol="1"/>
  <pivotFields count="14"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axis="axisRow" numFmtId="9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numFmtId="44" showAll="0"/>
    <pivotField numFmtId="44" showAll="0"/>
  </pivotFields>
  <rowFields count="1">
    <field x="1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Net Profit" fld="9" baseField="0" baseItem="0"/>
  </dataFields>
  <formats count="1">
    <format dxfId="3">
      <pivotArea outline="0" collapsedLevelsAreSubtotals="1" fieldPosition="0"/>
    </format>
  </format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7">
  <location ref="A1:C9" firstHeaderRow="0" firstDataRow="1" firstDataCol="1"/>
  <pivotFields count="14"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axis="axisRow" numFmtId="9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numFmtId="44" showAll="0"/>
    <pivotField numFmtId="44" showAll="0"/>
  </pivotFields>
  <rowFields count="1">
    <field x="1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 - Revenue" fld="0" baseField="0" baseItem="0"/>
    <dataField name="Sum of Net Profit" fld="9" baseField="0" baseItem="0"/>
  </dataFields>
  <formats count="1">
    <format dxfId="2">
      <pivotArea outline="0" collapsedLevelsAreSubtotals="1" fieldPosition="0"/>
    </format>
  </formats>
  <chartFormats count="29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4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4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4" format="25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4" format="29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4" format="30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  <chartFormat chart="4" format="3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4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6" format="25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6" format="26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6" format="27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6" format="28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6" format="29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6" format="30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  <chartFormat chart="6" format="3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5">
  <location ref="A1:D9" firstHeaderRow="0" firstDataRow="1" firstDataCol="1"/>
  <pivotFields count="14">
    <pivotField numFmtId="165" showAll="0"/>
    <pivotField dataField="1"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numFmtId="165" showAll="0"/>
    <pivotField axis="axisRow" numFmtId="9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numFmtId="44" showAll="0"/>
    <pivotField numFmtId="44" showAll="0"/>
  </pivotFields>
  <rowFields count="1">
    <field x="1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xpense" fld="8" baseField="0" baseItem="0" numFmtId="3"/>
    <dataField name="Sum of Credit Card Fees 1.3% of Sales" fld="1" baseField="0" baseItem="0"/>
    <dataField name="Sum of COGS (Net of Other Income)" fld="2" baseField="0" baseItem="0"/>
  </dataFields>
  <formats count="2">
    <format dxfId="1">
      <pivotArea outline="0" collapsedLevelsAreSubtotals="1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3">
    <chartFormat chart="4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34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4.xml"/><Relationship Id="rId4" Type="http://schemas.openxmlformats.org/officeDocument/2006/relationships/ctrlProp" Target="../ctrlProps/ctrlProp13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5:L31"/>
  <sheetViews>
    <sheetView showGridLines="0" tabSelected="1" topLeftCell="A7" zoomScale="110" zoomScaleNormal="110" workbookViewId="0">
      <selection activeCell="E14" sqref="E14"/>
    </sheetView>
  </sheetViews>
  <sheetFormatPr defaultColWidth="11.42578125" defaultRowHeight="15" x14ac:dyDescent="0.25"/>
  <cols>
    <col min="1" max="1" width="5" customWidth="1"/>
    <col min="2" max="2" width="6.7109375" customWidth="1"/>
    <col min="12" max="12" width="25.85546875" customWidth="1"/>
  </cols>
  <sheetData>
    <row r="5" spans="2:12" ht="15.75" x14ac:dyDescent="0.25">
      <c r="B5" s="4" t="s">
        <v>164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2:12" ht="15.75" x14ac:dyDescent="0.25"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2:12" ht="15.75" x14ac:dyDescent="0.25"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2:12" ht="15.75" x14ac:dyDescent="0.25">
      <c r="B8" s="4" t="s">
        <v>165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2:12" ht="15.75" x14ac:dyDescent="0.25"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2:12" ht="15.75" x14ac:dyDescent="0.25">
      <c r="B10" s="223" t="s">
        <v>168</v>
      </c>
      <c r="C10" s="223" t="s">
        <v>169</v>
      </c>
      <c r="D10" s="223"/>
      <c r="E10" s="223"/>
      <c r="F10" s="223"/>
      <c r="G10" s="223"/>
      <c r="H10" s="223"/>
      <c r="I10" s="223"/>
      <c r="J10" s="223"/>
      <c r="K10" s="223"/>
      <c r="L10" s="223"/>
    </row>
    <row r="11" spans="2:12" ht="15.75" x14ac:dyDescent="0.25">
      <c r="B11" s="223" t="s">
        <v>168</v>
      </c>
      <c r="C11" s="223" t="s">
        <v>170</v>
      </c>
      <c r="D11" s="223"/>
      <c r="E11" s="223"/>
      <c r="F11" s="223"/>
      <c r="G11" s="223"/>
      <c r="H11" s="223"/>
      <c r="I11" s="223"/>
      <c r="J11" s="223"/>
      <c r="K11" s="223"/>
      <c r="L11" s="223"/>
    </row>
    <row r="12" spans="2:12" ht="15.75" x14ac:dyDescent="0.25">
      <c r="B12" s="223" t="s">
        <v>168</v>
      </c>
      <c r="C12" s="223" t="s">
        <v>171</v>
      </c>
      <c r="D12" s="223"/>
      <c r="E12" s="223"/>
      <c r="F12" s="223"/>
      <c r="G12" s="223"/>
      <c r="H12" s="223"/>
      <c r="I12" s="223"/>
      <c r="J12" s="223"/>
      <c r="K12" s="223"/>
      <c r="L12" s="223"/>
    </row>
    <row r="13" spans="2:12" ht="15.75" x14ac:dyDescent="0.25"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</row>
    <row r="14" spans="2:12" ht="15.75" x14ac:dyDescent="0.25"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</row>
    <row r="15" spans="2:12" ht="15.75" x14ac:dyDescent="0.25">
      <c r="B15" s="4" t="s">
        <v>166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</row>
    <row r="16" spans="2:12" ht="15.75" x14ac:dyDescent="0.25"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</row>
    <row r="17" spans="2:12" ht="15.75" x14ac:dyDescent="0.25">
      <c r="B17" s="223" t="s">
        <v>168</v>
      </c>
      <c r="C17" s="223" t="s">
        <v>172</v>
      </c>
      <c r="D17" s="223"/>
      <c r="E17" s="223"/>
      <c r="F17" s="223"/>
      <c r="G17" s="223"/>
      <c r="H17" s="223"/>
      <c r="I17" s="223"/>
      <c r="J17" s="223"/>
      <c r="K17" s="223"/>
      <c r="L17" s="223"/>
    </row>
    <row r="18" spans="2:12" ht="15.75" x14ac:dyDescent="0.25">
      <c r="B18" s="223" t="s">
        <v>168</v>
      </c>
      <c r="C18" s="223" t="s">
        <v>173</v>
      </c>
      <c r="D18" s="223"/>
      <c r="E18" s="223"/>
      <c r="F18" s="223"/>
      <c r="G18" s="223"/>
      <c r="H18" s="223"/>
      <c r="I18" s="223"/>
      <c r="J18" s="223"/>
      <c r="K18" s="223"/>
      <c r="L18" s="223"/>
    </row>
    <row r="19" spans="2:12" ht="15.75" x14ac:dyDescent="0.25">
      <c r="B19" s="223" t="s">
        <v>168</v>
      </c>
      <c r="C19" s="223" t="s">
        <v>174</v>
      </c>
      <c r="D19" s="223"/>
      <c r="E19" s="223"/>
      <c r="F19" s="223"/>
      <c r="G19" s="223"/>
      <c r="H19" s="223"/>
      <c r="I19" s="223"/>
      <c r="J19" s="223"/>
      <c r="K19" s="223"/>
      <c r="L19" s="223"/>
    </row>
    <row r="20" spans="2:12" ht="15.75" x14ac:dyDescent="0.25">
      <c r="B20" s="223" t="s">
        <v>168</v>
      </c>
      <c r="C20" s="223" t="s">
        <v>197</v>
      </c>
      <c r="D20" s="223"/>
      <c r="E20" s="223"/>
      <c r="F20" s="223"/>
      <c r="G20" s="223"/>
      <c r="H20" s="223"/>
      <c r="I20" s="223"/>
      <c r="J20" s="223"/>
      <c r="K20" s="223"/>
      <c r="L20" s="223"/>
    </row>
    <row r="21" spans="2:12" ht="15.75" x14ac:dyDescent="0.25"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</row>
    <row r="22" spans="2:12" ht="15.75" x14ac:dyDescent="0.25"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2:12" ht="15.75" x14ac:dyDescent="0.25">
      <c r="B23" s="4" t="s">
        <v>167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spans="2:12" ht="15.75" x14ac:dyDescent="0.25">
      <c r="B24" s="223" t="s">
        <v>168</v>
      </c>
      <c r="C24" s="223" t="s">
        <v>175</v>
      </c>
      <c r="D24" s="223"/>
      <c r="E24" s="223"/>
      <c r="F24" s="223"/>
      <c r="G24" s="223"/>
      <c r="H24" s="223"/>
      <c r="I24" s="223"/>
      <c r="J24" s="223"/>
      <c r="K24" s="223"/>
      <c r="L24" s="223"/>
    </row>
    <row r="25" spans="2:12" ht="15.75" x14ac:dyDescent="0.25">
      <c r="B25" s="223" t="s">
        <v>168</v>
      </c>
      <c r="C25" s="223" t="s">
        <v>199</v>
      </c>
      <c r="D25" s="223"/>
      <c r="E25" s="223"/>
      <c r="F25" s="223"/>
      <c r="G25" s="223"/>
      <c r="H25" s="223"/>
      <c r="I25" s="223"/>
      <c r="J25" s="223"/>
      <c r="K25" s="223"/>
      <c r="L25" s="223"/>
    </row>
    <row r="26" spans="2:12" ht="15.75" x14ac:dyDescent="0.25">
      <c r="B26" s="223" t="s">
        <v>168</v>
      </c>
      <c r="C26" s="223" t="s">
        <v>196</v>
      </c>
      <c r="D26" s="223"/>
      <c r="E26" s="223"/>
      <c r="F26" s="223"/>
      <c r="G26" s="223"/>
      <c r="H26" s="223"/>
      <c r="I26" s="223"/>
      <c r="J26" s="223"/>
      <c r="K26" s="223"/>
      <c r="L26" s="223"/>
    </row>
    <row r="27" spans="2:12" ht="15.75" x14ac:dyDescent="0.25">
      <c r="B27" s="223" t="s">
        <v>168</v>
      </c>
      <c r="C27" s="223" t="s">
        <v>198</v>
      </c>
      <c r="D27" s="223"/>
      <c r="E27" s="223"/>
      <c r="F27" s="223"/>
      <c r="G27" s="223"/>
      <c r="H27" s="223"/>
      <c r="I27" s="223"/>
      <c r="J27" s="223"/>
      <c r="K27" s="223"/>
      <c r="L27" s="223"/>
    </row>
    <row r="28" spans="2:12" ht="15.75" x14ac:dyDescent="0.25">
      <c r="B28" s="223" t="s">
        <v>168</v>
      </c>
      <c r="C28" s="223" t="s">
        <v>176</v>
      </c>
      <c r="D28" s="223"/>
      <c r="E28" s="223"/>
      <c r="F28" s="223"/>
      <c r="G28" s="223"/>
      <c r="H28" s="223"/>
      <c r="I28" s="223"/>
      <c r="J28" s="223"/>
      <c r="K28" s="223"/>
      <c r="L28" s="223"/>
    </row>
    <row r="29" spans="2:12" ht="15.75" x14ac:dyDescent="0.25">
      <c r="B29" s="223" t="s">
        <v>168</v>
      </c>
      <c r="C29" s="223" t="s">
        <v>177</v>
      </c>
      <c r="D29" s="223"/>
      <c r="E29" s="223"/>
      <c r="F29" s="223"/>
      <c r="G29" s="223"/>
      <c r="H29" s="223"/>
      <c r="I29" s="223"/>
      <c r="J29" s="223"/>
      <c r="K29" s="223"/>
      <c r="L29" s="223"/>
    </row>
    <row r="30" spans="2:12" ht="15.75" x14ac:dyDescent="0.25"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</row>
    <row r="31" spans="2:12" ht="15.75" x14ac:dyDescent="0.25"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</row>
  </sheetData>
  <pageMargins left="0.25" right="0.25" top="0.75" bottom="0.75" header="0.3" footer="0.3"/>
  <pageSetup scale="86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9"/>
  <sheetViews>
    <sheetView zoomScale="90" zoomScaleNormal="90" workbookViewId="0">
      <selection activeCell="L1" sqref="L1"/>
    </sheetView>
  </sheetViews>
  <sheetFormatPr defaultColWidth="11.42578125" defaultRowHeight="15" x14ac:dyDescent="0.25"/>
  <cols>
    <col min="1" max="1" width="12.28515625" bestFit="1" customWidth="1"/>
    <col min="2" max="3" width="14.140625" bestFit="1" customWidth="1"/>
  </cols>
  <sheetData>
    <row r="1" spans="1:2" x14ac:dyDescent="0.25">
      <c r="A1" s="244" t="s">
        <v>157</v>
      </c>
      <c r="B1" t="s">
        <v>159</v>
      </c>
    </row>
    <row r="2" spans="1:2" x14ac:dyDescent="0.25">
      <c r="A2" s="245">
        <v>0.1</v>
      </c>
      <c r="B2" s="226">
        <v>54215.046640633853</v>
      </c>
    </row>
    <row r="3" spans="1:2" x14ac:dyDescent="0.25">
      <c r="A3" s="245">
        <v>0.15</v>
      </c>
      <c r="B3" s="226">
        <v>86180.549050613306</v>
      </c>
    </row>
    <row r="4" spans="1:2" x14ac:dyDescent="0.25">
      <c r="A4" s="245">
        <v>0.2</v>
      </c>
      <c r="B4" s="226">
        <v>122207.74172869691</v>
      </c>
    </row>
    <row r="5" spans="1:2" x14ac:dyDescent="0.25">
      <c r="A5" s="245">
        <v>0.25</v>
      </c>
      <c r="B5" s="226">
        <v>163123.29162225995</v>
      </c>
    </row>
    <row r="6" spans="1:2" x14ac:dyDescent="0.25">
      <c r="A6" s="245">
        <v>0.3</v>
      </c>
      <c r="B6" s="226">
        <v>209994.52563424551</v>
      </c>
    </row>
    <row r="7" spans="1:2" x14ac:dyDescent="0.25">
      <c r="A7" s="245">
        <v>0.35000000000000003</v>
      </c>
      <c r="B7" s="226">
        <v>264223.88115517708</v>
      </c>
    </row>
    <row r="8" spans="1:2" x14ac:dyDescent="0.25">
      <c r="A8" s="245">
        <v>0.4</v>
      </c>
      <c r="B8" s="226">
        <v>327691.62773589254</v>
      </c>
    </row>
    <row r="9" spans="1:2" x14ac:dyDescent="0.25">
      <c r="A9" s="245" t="s">
        <v>158</v>
      </c>
      <c r="B9" s="226">
        <v>1227636.663567519</v>
      </c>
    </row>
  </sheetData>
  <pageMargins left="0.7" right="0.7" top="0.75" bottom="0.75" header="0.3" footer="0.3"/>
  <pageSetup orientation="landscape" horizontalDpi="0" verticalDpi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9"/>
  <sheetViews>
    <sheetView zoomScale="90" zoomScaleNormal="90" workbookViewId="0">
      <selection activeCell="C31" sqref="C31"/>
    </sheetView>
  </sheetViews>
  <sheetFormatPr defaultColWidth="11.42578125" defaultRowHeight="15" x14ac:dyDescent="0.25"/>
  <cols>
    <col min="1" max="1" width="12.28515625" bestFit="1" customWidth="1"/>
    <col min="2" max="2" width="10.140625" bestFit="1" customWidth="1"/>
    <col min="3" max="3" width="14.140625" bestFit="1" customWidth="1"/>
  </cols>
  <sheetData>
    <row r="1" spans="1:3" x14ac:dyDescent="0.25">
      <c r="A1" s="244" t="s">
        <v>157</v>
      </c>
      <c r="B1" t="s">
        <v>160</v>
      </c>
      <c r="C1" t="s">
        <v>159</v>
      </c>
    </row>
    <row r="2" spans="1:3" x14ac:dyDescent="0.25">
      <c r="A2" s="245">
        <v>0.1</v>
      </c>
      <c r="B2" s="226">
        <v>542150.4664063385</v>
      </c>
      <c r="C2" s="226">
        <v>54215.046640633853</v>
      </c>
    </row>
    <row r="3" spans="1:3" x14ac:dyDescent="0.25">
      <c r="A3" s="245">
        <v>0.15</v>
      </c>
      <c r="B3" s="226">
        <v>574536.99367075542</v>
      </c>
      <c r="C3" s="226">
        <v>86180.549050613306</v>
      </c>
    </row>
    <row r="4" spans="1:3" x14ac:dyDescent="0.25">
      <c r="A4" s="245">
        <v>0.2</v>
      </c>
      <c r="B4" s="226">
        <v>611038.70864348451</v>
      </c>
      <c r="C4" s="226">
        <v>122207.74172869691</v>
      </c>
    </row>
    <row r="5" spans="1:3" x14ac:dyDescent="0.25">
      <c r="A5" s="245">
        <v>0.25</v>
      </c>
      <c r="B5" s="226">
        <v>652493.16648903978</v>
      </c>
      <c r="C5" s="226">
        <v>163123.29162225995</v>
      </c>
    </row>
    <row r="6" spans="1:3" x14ac:dyDescent="0.25">
      <c r="A6" s="245">
        <v>0.3</v>
      </c>
      <c r="B6" s="226">
        <v>699981.75211415172</v>
      </c>
      <c r="C6" s="226">
        <v>209994.52563424551</v>
      </c>
    </row>
    <row r="7" spans="1:3" x14ac:dyDescent="0.25">
      <c r="A7" s="245">
        <v>0.35000000000000003</v>
      </c>
      <c r="B7" s="226">
        <v>754925.37472907733</v>
      </c>
      <c r="C7" s="226">
        <v>264223.88115517708</v>
      </c>
    </row>
    <row r="8" spans="1:3" x14ac:dyDescent="0.25">
      <c r="A8" s="245">
        <v>0.4</v>
      </c>
      <c r="B8" s="226">
        <v>819229.06933973136</v>
      </c>
      <c r="C8" s="226">
        <v>327691.62773589254</v>
      </c>
    </row>
    <row r="9" spans="1:3" x14ac:dyDescent="0.25">
      <c r="A9" s="245" t="s">
        <v>158</v>
      </c>
      <c r="B9" s="226">
        <v>4654355.531392579</v>
      </c>
      <c r="C9" s="226">
        <v>1227636.663567519</v>
      </c>
    </row>
  </sheetData>
  <pageMargins left="0.7" right="0.7" top="0.75" bottom="0.75" header="0.3" footer="0.3"/>
  <pageSetup orientation="landscape" horizontalDpi="0" verticalDpi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6:Q13"/>
  <sheetViews>
    <sheetView topLeftCell="A2" zoomScale="93" zoomScaleNormal="100" workbookViewId="0">
      <selection activeCell="H24" sqref="H24"/>
    </sheetView>
  </sheetViews>
  <sheetFormatPr defaultColWidth="11.42578125" defaultRowHeight="15" x14ac:dyDescent="0.25"/>
  <cols>
    <col min="3" max="3" width="12.140625" bestFit="1" customWidth="1"/>
    <col min="4" max="16" width="15.85546875" customWidth="1"/>
  </cols>
  <sheetData>
    <row r="6" spans="3:17" ht="63" x14ac:dyDescent="0.25">
      <c r="C6" s="238" t="s">
        <v>5</v>
      </c>
      <c r="D6" s="238" t="s">
        <v>155</v>
      </c>
      <c r="E6" s="238" t="s">
        <v>43</v>
      </c>
      <c r="F6" s="238" t="s">
        <v>41</v>
      </c>
      <c r="G6" s="239" t="s">
        <v>7</v>
      </c>
      <c r="H6" s="239" t="s">
        <v>8</v>
      </c>
      <c r="I6" s="239" t="s">
        <v>9</v>
      </c>
      <c r="J6" s="239" t="s">
        <v>10</v>
      </c>
      <c r="K6" s="238" t="s">
        <v>11</v>
      </c>
      <c r="L6" s="65" t="s">
        <v>12</v>
      </c>
      <c r="M6" s="65" t="s">
        <v>156</v>
      </c>
      <c r="N6" s="242" t="s">
        <v>13</v>
      </c>
      <c r="O6" s="242" t="s">
        <v>33</v>
      </c>
      <c r="P6" s="241" t="s">
        <v>15</v>
      </c>
      <c r="Q6" s="240"/>
    </row>
    <row r="7" spans="3:17" x14ac:dyDescent="0.25">
      <c r="C7" s="243">
        <f>+'NFB Profit % Scenario''s'!F$6</f>
        <v>542150.91736462479</v>
      </c>
      <c r="D7" s="243">
        <f>+'NFB Profit % Scenario''s'!F$9</f>
        <v>7047.9619257401218</v>
      </c>
      <c r="E7" s="243">
        <f>+'NFB Profit % Scenario''s'!F$10</f>
        <v>16800</v>
      </c>
      <c r="F7" s="243">
        <f>+'NFB Profit % Scenario''s'!F$12</f>
        <v>518302.95543888467</v>
      </c>
      <c r="G7" s="243">
        <f>+'NFB Profit % Scenario''s'!F$15</f>
        <v>2600</v>
      </c>
      <c r="H7" s="243">
        <f>+'NFB Profit % Scenario''s'!F$17</f>
        <v>222095.182</v>
      </c>
      <c r="I7" s="243">
        <f>+'NFB Profit % Scenario''s'!F$19</f>
        <v>225170.18200242225</v>
      </c>
      <c r="J7" s="243">
        <f>+'NFB Profit % Scenario''s'!F$21</f>
        <v>14222.4997</v>
      </c>
      <c r="K7" s="243">
        <f>+'NFB Profit % Scenario''s'!F$23</f>
        <v>464087.86370242224</v>
      </c>
      <c r="L7" s="243">
        <f>+'NFB Profit % Scenario''s'!F$25</f>
        <v>54215.091736462484</v>
      </c>
      <c r="M7" s="222">
        <f>+'NFB Profit % Scenario''s'!G$25</f>
        <v>0.1</v>
      </c>
      <c r="N7">
        <f>+'NFB Profit % Scenario''s'!F$27</f>
        <v>15000</v>
      </c>
      <c r="O7" s="227">
        <f>+'NFB Profit % Scenario''s'!F$29</f>
        <v>36.143394490974984</v>
      </c>
      <c r="P7" s="227">
        <f>+'NFB Profit % Scenario''s'!F$31</f>
        <v>14.806345466666667</v>
      </c>
    </row>
    <row r="8" spans="3:17" x14ac:dyDescent="0.25">
      <c r="C8" s="243">
        <f>+'NFB Profit % Scenario''s'!J$6</f>
        <v>574537.47156800749</v>
      </c>
      <c r="D8" s="243">
        <f>+'NFB Profit % Scenario''s'!J$9</f>
        <v>7468.9871303840973</v>
      </c>
      <c r="E8" s="243">
        <f>+'NFB Profit % Scenario''s'!J10</f>
        <v>16800</v>
      </c>
      <c r="F8" s="243">
        <f>+'NFB Profit % Scenario''s'!J$12</f>
        <v>550268.48443762341</v>
      </c>
      <c r="G8" s="243">
        <f>+'NFB Profit % Scenario''s'!J$15</f>
        <v>2600</v>
      </c>
      <c r="H8" s="243">
        <f>+'NFB Profit % Scenario''s'!J$17</f>
        <v>222095.182</v>
      </c>
      <c r="I8" s="243">
        <f>+'NFB Profit % Scenario''s'!J$19</f>
        <v>225170.18200242225</v>
      </c>
      <c r="J8" s="243">
        <f>+'NFB Profit % Scenario''s'!J$21</f>
        <v>14222.4997</v>
      </c>
      <c r="K8" s="243">
        <f>+'NFB Profit % Scenario''s'!J$23</f>
        <v>464087.86370242224</v>
      </c>
      <c r="L8" s="243">
        <f>+'NFB Profit % Scenario''s'!J$25</f>
        <v>86180.620735201126</v>
      </c>
      <c r="M8" s="222">
        <f>+'NFB Profit % Scenario''s'!K$25</f>
        <v>0.15</v>
      </c>
      <c r="N8">
        <f>+'NFB Profit % Scenario''s'!J$27</f>
        <v>15000</v>
      </c>
      <c r="O8" s="227">
        <f>+'NFB Profit % Scenario''s'!J$29</f>
        <v>38.302498104533832</v>
      </c>
      <c r="P8" s="227">
        <f>+'NFB Profit % Scenario''s'!J$31</f>
        <v>14.806345466666667</v>
      </c>
    </row>
    <row r="9" spans="3:17" x14ac:dyDescent="0.25">
      <c r="C9" s="243">
        <f>+'NFB Profit % Scenario''s'!N$6</f>
        <v>611039.21690269664</v>
      </c>
      <c r="D9" s="243">
        <f>+'NFB Profit % Scenario''s'!N$9</f>
        <v>7943.5098197350562</v>
      </c>
      <c r="E9" s="243">
        <f>+'NFB Profit % Scenario''s'!N$10</f>
        <v>16800</v>
      </c>
      <c r="F9" s="243">
        <f>+'NFB Profit % Scenario''s'!N$12</f>
        <v>586295.70708296157</v>
      </c>
      <c r="G9" s="243">
        <f>+'NFB Profit % Scenario''s'!N$15</f>
        <v>2600</v>
      </c>
      <c r="H9" s="243">
        <f>+'NFB Profit % Scenario''s'!N$17</f>
        <v>222095.182</v>
      </c>
      <c r="I9" s="243">
        <f>+'NFB Profit % Scenario''s'!N$19</f>
        <v>225170.18200242225</v>
      </c>
      <c r="J9" s="243">
        <f>+'NFB Profit % Scenario''s'!N$21</f>
        <v>14222.4997</v>
      </c>
      <c r="K9" s="243">
        <f>+'NFB Profit % Scenario''s'!N$23</f>
        <v>464087.86370242224</v>
      </c>
      <c r="L9" s="243">
        <f>+'NFB Profit % Scenario''s'!N$25</f>
        <v>122207.84338053933</v>
      </c>
      <c r="M9" s="222">
        <f>+'NFB Profit % Scenario''s'!O$25</f>
        <v>0.2</v>
      </c>
      <c r="N9">
        <f>+'NFB Profit % Scenario''s'!N$27</f>
        <v>15000</v>
      </c>
      <c r="O9" s="227">
        <f>+'NFB Profit % Scenario''s'!N$29</f>
        <v>40.735947793513112</v>
      </c>
      <c r="P9" s="227">
        <f>+'NFB Profit % Scenario''s'!N$31</f>
        <v>14.806345466666667</v>
      </c>
    </row>
    <row r="10" spans="3:17" x14ac:dyDescent="0.25">
      <c r="C10" s="243">
        <f>+'NFB Profit % Scenario''s'!R$6</f>
        <v>652493.70922988094</v>
      </c>
      <c r="D10" s="243">
        <f>+'NFB Profit % Scenario''s'!R$9</f>
        <v>8482.4182199884526</v>
      </c>
      <c r="E10" s="243">
        <f>+'NFB Profit % Scenario''s'!R$10</f>
        <v>16800</v>
      </c>
      <c r="F10" s="243">
        <f>+'NFB Profit % Scenario''s'!R$12</f>
        <v>627211.29100989248</v>
      </c>
      <c r="G10" s="243">
        <f>+'NFB Profit % Scenario''s'!R$15</f>
        <v>2600</v>
      </c>
      <c r="H10" s="243">
        <f>+'NFB Profit % Scenario''s'!R$17</f>
        <v>222095.182</v>
      </c>
      <c r="I10" s="243">
        <f>+'NFB Profit % Scenario''s'!R$19</f>
        <v>225170.18200242225</v>
      </c>
      <c r="J10" s="243">
        <f>+'NFB Profit % Scenario''s'!R$21</f>
        <v>14222.4997</v>
      </c>
      <c r="K10" s="243">
        <f>+'NFB Profit % Scenario''s'!R$23</f>
        <v>464087.86370242224</v>
      </c>
      <c r="L10" s="243">
        <f>+'NFB Profit % Scenario''s'!R$25</f>
        <v>163123.42730747024</v>
      </c>
      <c r="M10" s="222">
        <f>+'NFB Profit % Scenario''s'!S$25</f>
        <v>0.25</v>
      </c>
      <c r="N10">
        <f>+'NFB Profit % Scenario''s'!R$27</f>
        <v>15000</v>
      </c>
      <c r="O10" s="227">
        <f>+'NFB Profit % Scenario''s'!R$29</f>
        <v>43.499580615325399</v>
      </c>
      <c r="P10" s="227">
        <f>+'NFB Profit % Scenario''s'!R$31</f>
        <v>14.806345466666667</v>
      </c>
    </row>
    <row r="11" spans="3:17" x14ac:dyDescent="0.25">
      <c r="C11" s="243">
        <f>+'NFB Profit % Scenario''s'!V$6</f>
        <v>699982.3343557819</v>
      </c>
      <c r="D11" s="243">
        <f>+'NFB Profit % Scenario''s'!V$9</f>
        <v>9099.7703466251642</v>
      </c>
      <c r="E11" s="243">
        <f>+'NFB Profit % Scenario''s'!V$10</f>
        <v>16800</v>
      </c>
      <c r="F11" s="243">
        <f>+'NFB Profit % Scenario''s'!V$12</f>
        <v>674082.56400915678</v>
      </c>
      <c r="G11" s="243">
        <f>+'NFB Profit % Scenario''s'!V$15</f>
        <v>2600</v>
      </c>
      <c r="H11" s="243">
        <f>+'NFB Profit % Scenario''s'!V$17</f>
        <v>222095.182</v>
      </c>
      <c r="I11" s="243">
        <f>+'NFB Profit % Scenario''s'!V$19</f>
        <v>225170.18200242225</v>
      </c>
      <c r="J11" s="243">
        <f>+'NFB Profit % Scenario''s'!V$21</f>
        <v>14222.4997</v>
      </c>
      <c r="K11" s="243">
        <f>+'NFB Profit % Scenario''s'!V$23</f>
        <v>464087.86370242224</v>
      </c>
      <c r="L11" s="243">
        <f>+'NFB Profit % Scenario''s'!V$25</f>
        <v>209994.70030673456</v>
      </c>
      <c r="M11" s="222">
        <f>+'NFB Profit % Scenario''s'!W$25</f>
        <v>0.3</v>
      </c>
      <c r="N11">
        <f>+'NFB Profit % Scenario''s'!V$27</f>
        <v>15000</v>
      </c>
      <c r="O11" s="227">
        <f>+'NFB Profit % Scenario''s'!V$29</f>
        <v>46.665488957052126</v>
      </c>
      <c r="P11" s="227">
        <f>+'NFB Profit % Scenario''s'!F$31</f>
        <v>14.806345466666667</v>
      </c>
    </row>
    <row r="12" spans="3:17" x14ac:dyDescent="0.25">
      <c r="C12" s="243">
        <f>+'NFB Profit % Scenario''s'!Z$6</f>
        <v>754926.00267256238</v>
      </c>
      <c r="D12" s="243">
        <f>+'NFB Profit % Scenario''s'!Z$9</f>
        <v>9814.0380347433111</v>
      </c>
      <c r="E12" s="243">
        <f>+'NFB Profit % Scenario''s'!Z$10</f>
        <v>16800</v>
      </c>
      <c r="F12" s="243">
        <f>+'NFB Profit % Scenario''s'!Z$12</f>
        <v>728311.9646378191</v>
      </c>
      <c r="G12" s="243">
        <f>+'NFB Profit % Scenario''s'!Z$15</f>
        <v>2600</v>
      </c>
      <c r="H12" s="243">
        <f>+'NFB Profit % Scenario''s'!Z$17</f>
        <v>222095.182</v>
      </c>
      <c r="I12" s="243">
        <f>+'NFB Profit % Scenario''s'!Z$19</f>
        <v>225170.18200242225</v>
      </c>
      <c r="J12" s="243">
        <f>+'NFB Profit % Scenario''s'!Z$21</f>
        <v>14222.4997</v>
      </c>
      <c r="K12" s="243">
        <f>+'NFB Profit % Scenario''s'!Z$23</f>
        <v>464087.86370242224</v>
      </c>
      <c r="L12" s="243">
        <f>+'NFB Profit % Scenario''s'!Z$25</f>
        <v>264224.10093539685</v>
      </c>
      <c r="M12" s="222">
        <f>+'NFB Profit % Scenario''s'!AA$25</f>
        <v>0.35000000000000003</v>
      </c>
      <c r="N12">
        <f>+'NFB Profit % Scenario''s'!Z$27</f>
        <v>15000</v>
      </c>
      <c r="O12" s="227">
        <f>+'NFB Profit % Scenario''s'!Z$29</f>
        <v>50.328400178170824</v>
      </c>
      <c r="P12" s="227">
        <f>+'NFB Profit % Scenario''s'!Z$31</f>
        <v>14.806345466666667</v>
      </c>
    </row>
    <row r="13" spans="3:17" x14ac:dyDescent="0.25">
      <c r="C13" s="243">
        <f>+'NFB Profit % Scenario''s'!AD$6</f>
        <v>819229.75077073637</v>
      </c>
      <c r="D13" s="243">
        <f>+'NFB Profit % Scenario''s'!AD$9</f>
        <v>10649.986760019572</v>
      </c>
      <c r="E13" s="243">
        <f>+'NFB Profit % Scenario''s'!AD$10</f>
        <v>16800</v>
      </c>
      <c r="F13" s="243">
        <f>+'NFB Profit % Scenario''s'!AD$12</f>
        <v>791779.76401071681</v>
      </c>
      <c r="G13" s="243">
        <f>+'NFB Profit % Scenario''s'!AD$15</f>
        <v>2600</v>
      </c>
      <c r="H13" s="243">
        <f>+'NFB Profit % Scenario''s'!AD$17</f>
        <v>222095.182</v>
      </c>
      <c r="I13" s="243">
        <f>+'NFB Profit % Scenario''s'!AD$19</f>
        <v>225170.18200242225</v>
      </c>
      <c r="J13" s="243">
        <f>+'NFB Profit % Scenario''s'!AD$21</f>
        <v>14222.4997</v>
      </c>
      <c r="K13" s="243">
        <f>+'NFB Profit % Scenario''s'!AD$23</f>
        <v>464087.86370242224</v>
      </c>
      <c r="L13" s="243">
        <f>+'NFB Profit % Scenario''s'!AD$25</f>
        <v>327691.90030829457</v>
      </c>
      <c r="M13" s="222">
        <f>+'NFB Profit % Scenario''s'!AE$25</f>
        <v>0.4</v>
      </c>
      <c r="N13">
        <f>+'NFB Profit % Scenario''s'!AD$27</f>
        <v>15000</v>
      </c>
      <c r="O13" s="227">
        <f>+'NFB Profit % Scenario''s'!AD$29</f>
        <v>54.615316718049094</v>
      </c>
      <c r="P13" s="227">
        <f>+'NFB Profit % Scenario''s'!AD$31</f>
        <v>14.806345466666667</v>
      </c>
    </row>
  </sheetData>
  <autoFilter ref="D6:P6"/>
  <pageMargins left="0.7" right="0.7" top="0.75" bottom="0.75" header="0.3" footer="0.3"/>
  <pageSetup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9"/>
  <sheetViews>
    <sheetView zoomScale="90" zoomScaleNormal="90" workbookViewId="0">
      <selection activeCell="B2" sqref="B2:B8"/>
    </sheetView>
  </sheetViews>
  <sheetFormatPr defaultColWidth="11.42578125" defaultRowHeight="15" x14ac:dyDescent="0.25"/>
  <cols>
    <col min="1" max="1" width="12.28515625" bestFit="1" customWidth="1"/>
    <col min="2" max="2" width="17.28515625" bestFit="1" customWidth="1"/>
    <col min="3" max="3" width="30" bestFit="1" customWidth="1"/>
    <col min="4" max="4" width="28.42578125" bestFit="1" customWidth="1"/>
  </cols>
  <sheetData>
    <row r="1" spans="1:4" x14ac:dyDescent="0.25">
      <c r="A1" s="244" t="s">
        <v>157</v>
      </c>
      <c r="B1" t="s">
        <v>161</v>
      </c>
      <c r="C1" t="s">
        <v>162</v>
      </c>
      <c r="D1" t="s">
        <v>163</v>
      </c>
    </row>
    <row r="2" spans="1:4" x14ac:dyDescent="0.25">
      <c r="A2" s="245">
        <v>0.1</v>
      </c>
      <c r="B2" s="225">
        <v>464087.46370242228</v>
      </c>
      <c r="C2" s="226">
        <v>7047.9560632824005</v>
      </c>
      <c r="D2" s="226">
        <v>16800</v>
      </c>
    </row>
    <row r="3" spans="1:4" x14ac:dyDescent="0.25">
      <c r="A3" s="245">
        <v>0.15</v>
      </c>
      <c r="B3" s="225">
        <v>464087.46370242228</v>
      </c>
      <c r="C3" s="226">
        <v>7468.9809177198204</v>
      </c>
      <c r="D3" s="226">
        <v>16800</v>
      </c>
    </row>
    <row r="4" spans="1:4" x14ac:dyDescent="0.25">
      <c r="A4" s="245">
        <v>0.2</v>
      </c>
      <c r="B4" s="225">
        <v>464087.46370242228</v>
      </c>
      <c r="C4" s="226">
        <v>7943.5032123652982</v>
      </c>
      <c r="D4" s="226">
        <v>16800</v>
      </c>
    </row>
    <row r="5" spans="1:4" x14ac:dyDescent="0.25">
      <c r="A5" s="245">
        <v>0.25</v>
      </c>
      <c r="B5" s="225">
        <v>464087.46370242228</v>
      </c>
      <c r="C5" s="226">
        <v>8482.4111643575161</v>
      </c>
      <c r="D5" s="226">
        <v>16800</v>
      </c>
    </row>
    <row r="6" spans="1:4" x14ac:dyDescent="0.25">
      <c r="A6" s="245">
        <v>0.3</v>
      </c>
      <c r="B6" s="225">
        <v>464087.46370242228</v>
      </c>
      <c r="C6" s="226">
        <v>9099.7627774839711</v>
      </c>
      <c r="D6" s="226">
        <v>16800</v>
      </c>
    </row>
    <row r="7" spans="1:4" x14ac:dyDescent="0.25">
      <c r="A7" s="245">
        <v>0.35000000000000003</v>
      </c>
      <c r="B7" s="225">
        <v>464087.46370242228</v>
      </c>
      <c r="C7" s="226">
        <v>9814.0298714780056</v>
      </c>
      <c r="D7" s="226">
        <v>16800</v>
      </c>
    </row>
    <row r="8" spans="1:4" x14ac:dyDescent="0.25">
      <c r="A8" s="245">
        <v>0.4</v>
      </c>
      <c r="B8" s="225">
        <v>464087.46370242228</v>
      </c>
      <c r="C8" s="226">
        <v>10649.977901416507</v>
      </c>
      <c r="D8" s="226">
        <v>16800</v>
      </c>
    </row>
    <row r="9" spans="1:4" x14ac:dyDescent="0.25">
      <c r="A9" s="245" t="s">
        <v>158</v>
      </c>
      <c r="B9" s="225">
        <v>3248612.2459169556</v>
      </c>
      <c r="C9" s="226">
        <v>60506.621908103523</v>
      </c>
      <c r="D9" s="226">
        <v>117600</v>
      </c>
    </row>
  </sheetData>
  <pageMargins left="0.7" right="0.7" top="0.75" bottom="0.75" header="0.3" footer="0.3"/>
  <pageSetup orientation="landscape" horizontalDpi="0" verticalDpi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2:M52"/>
  <sheetViews>
    <sheetView zoomScale="83" zoomScaleNormal="80" zoomScaleSheetLayoutView="100" workbookViewId="0">
      <selection activeCell="H25" sqref="H25"/>
    </sheetView>
  </sheetViews>
  <sheetFormatPr defaultColWidth="9.140625" defaultRowHeight="15" x14ac:dyDescent="0.2"/>
  <cols>
    <col min="1" max="1" width="28.7109375" style="63" customWidth="1"/>
    <col min="2" max="2" width="18.42578125" style="63" bestFit="1" customWidth="1"/>
    <col min="3" max="3" width="16.7109375" style="63" bestFit="1" customWidth="1"/>
    <col min="4" max="4" width="3.28515625" style="63" customWidth="1"/>
    <col min="5" max="5" width="17.42578125" style="63" bestFit="1" customWidth="1"/>
    <col min="6" max="6" width="16.7109375" style="63" bestFit="1" customWidth="1"/>
    <col min="7" max="7" width="11.42578125" style="63" customWidth="1"/>
    <col min="8" max="8" width="16.42578125" style="63" customWidth="1"/>
    <col min="9" max="9" width="16.7109375" style="63" bestFit="1" customWidth="1"/>
    <col min="10" max="16384" width="9.140625" style="63"/>
  </cols>
  <sheetData>
    <row r="2" spans="1:10" ht="15.75" thickBot="1" x14ac:dyDescent="0.25"/>
    <row r="3" spans="1:10" ht="16.5" thickBot="1" x14ac:dyDescent="0.3">
      <c r="E3" s="331" t="s">
        <v>42</v>
      </c>
      <c r="F3" s="332"/>
      <c r="G3" s="332"/>
      <c r="H3" s="332"/>
      <c r="I3" s="333"/>
    </row>
    <row r="4" spans="1:10" ht="15.75" x14ac:dyDescent="0.25">
      <c r="A4" s="64"/>
      <c r="B4" s="65"/>
      <c r="C4" s="66" t="s">
        <v>0</v>
      </c>
      <c r="E4" s="334" t="s">
        <v>35</v>
      </c>
      <c r="F4" s="334"/>
      <c r="H4" s="334" t="s">
        <v>36</v>
      </c>
      <c r="I4" s="334"/>
    </row>
    <row r="5" spans="1:10" ht="15.75" x14ac:dyDescent="0.25">
      <c r="A5" s="67"/>
      <c r="B5" s="67"/>
      <c r="C5" s="68" t="s">
        <v>3</v>
      </c>
      <c r="E5" s="69" t="s">
        <v>26</v>
      </c>
      <c r="F5" s="70" t="s">
        <v>3</v>
      </c>
      <c r="H5" s="69" t="s">
        <v>26</v>
      </c>
      <c r="I5" s="70" t="s">
        <v>3</v>
      </c>
    </row>
    <row r="6" spans="1:10" ht="15.75" x14ac:dyDescent="0.25">
      <c r="A6" s="65" t="s">
        <v>5</v>
      </c>
      <c r="B6" s="65"/>
      <c r="C6" s="71">
        <v>1</v>
      </c>
      <c r="E6" s="204">
        <f>E25*E27</f>
        <v>371260</v>
      </c>
      <c r="F6" s="73">
        <f>E6/E6</f>
        <v>1</v>
      </c>
      <c r="H6" s="204">
        <f>+'ReStore South 22'!L10</f>
        <v>447400</v>
      </c>
      <c r="I6" s="73">
        <f>H6/H6</f>
        <v>1</v>
      </c>
    </row>
    <row r="7" spans="1:10" ht="15.75" x14ac:dyDescent="0.25">
      <c r="A7" s="65"/>
      <c r="B7" s="65"/>
      <c r="C7" s="77"/>
      <c r="E7" s="205"/>
      <c r="F7" s="125"/>
      <c r="H7" s="124"/>
      <c r="I7" s="125"/>
    </row>
    <row r="8" spans="1:10" ht="15.75" x14ac:dyDescent="0.25">
      <c r="A8" s="65" t="s">
        <v>43</v>
      </c>
      <c r="B8" s="65"/>
      <c r="C8" s="77"/>
      <c r="E8" s="205"/>
      <c r="F8" s="125"/>
      <c r="H8" s="205">
        <f>20216-900</f>
        <v>19316</v>
      </c>
      <c r="I8" s="125"/>
    </row>
    <row r="9" spans="1:10" ht="15.75" x14ac:dyDescent="0.25">
      <c r="A9" s="65"/>
      <c r="B9" s="65"/>
      <c r="C9" s="77"/>
      <c r="E9" s="205"/>
      <c r="F9" s="125"/>
      <c r="H9" s="205"/>
      <c r="I9" s="125"/>
    </row>
    <row r="10" spans="1:10" ht="15.75" x14ac:dyDescent="0.25">
      <c r="A10" s="65" t="s">
        <v>41</v>
      </c>
      <c r="B10" s="65"/>
      <c r="C10" s="77"/>
      <c r="E10" s="204"/>
      <c r="F10" s="125"/>
      <c r="H10" s="204">
        <f>+H6-H8</f>
        <v>428084</v>
      </c>
      <c r="I10" s="125"/>
    </row>
    <row r="11" spans="1:10" ht="15.75" x14ac:dyDescent="0.25">
      <c r="A11" s="65"/>
      <c r="B11" s="65"/>
      <c r="C11" s="77"/>
      <c r="E11" s="205"/>
      <c r="F11" s="125"/>
      <c r="H11" s="205"/>
      <c r="I11" s="125"/>
    </row>
    <row r="12" spans="1:10" ht="15.75" x14ac:dyDescent="0.25">
      <c r="A12" s="65" t="s">
        <v>6</v>
      </c>
      <c r="C12" s="74"/>
      <c r="E12" s="206"/>
      <c r="F12" s="76"/>
      <c r="H12" s="206"/>
      <c r="I12" s="76"/>
    </row>
    <row r="13" spans="1:10" ht="15.75" x14ac:dyDescent="0.25">
      <c r="A13" s="92" t="s">
        <v>7</v>
      </c>
      <c r="C13" s="74">
        <v>0.05</v>
      </c>
      <c r="E13" s="206">
        <f>E6*F13</f>
        <v>0</v>
      </c>
      <c r="F13" s="122">
        <v>0</v>
      </c>
      <c r="G13" s="93" t="s">
        <v>46</v>
      </c>
      <c r="H13" s="206">
        <f>+'[1]ReStore South 22'!$L$35</f>
        <v>1600</v>
      </c>
      <c r="I13" s="122">
        <f>+H13/H6</f>
        <v>3.5762181493071078E-3</v>
      </c>
      <c r="J13" s="93" t="s">
        <v>46</v>
      </c>
    </row>
    <row r="14" spans="1:10" ht="15.75" x14ac:dyDescent="0.25">
      <c r="A14" s="92"/>
      <c r="C14" s="74"/>
      <c r="E14" s="206"/>
      <c r="F14" s="76"/>
      <c r="H14" s="206"/>
      <c r="I14" s="76"/>
    </row>
    <row r="15" spans="1:10" ht="15.75" x14ac:dyDescent="0.25">
      <c r="A15" s="92" t="s">
        <v>8</v>
      </c>
      <c r="C15" s="74">
        <v>0.15</v>
      </c>
      <c r="E15" s="206">
        <f>E25*E29</f>
        <v>57252.200000000004</v>
      </c>
      <c r="F15" s="76">
        <f>E15/E6</f>
        <v>0.15421052631578949</v>
      </c>
      <c r="H15" s="207">
        <f>SUM('ReStore South 22'!L44:L53)</f>
        <v>26321.508000000002</v>
      </c>
      <c r="I15" s="76">
        <f>H15/H6</f>
        <v>5.8832159141707648E-2</v>
      </c>
    </row>
    <row r="16" spans="1:10" ht="15.75" x14ac:dyDescent="0.25">
      <c r="A16" s="92"/>
      <c r="C16" s="74"/>
      <c r="E16" s="206"/>
      <c r="F16" s="76"/>
      <c r="H16" s="206"/>
      <c r="I16" s="76"/>
    </row>
    <row r="17" spans="1:13" ht="15.75" x14ac:dyDescent="0.25">
      <c r="A17" s="92" t="s">
        <v>9</v>
      </c>
      <c r="C17" s="74">
        <v>0.4</v>
      </c>
      <c r="E17" s="206">
        <f>E37+E42+E47+E52</f>
        <v>260000</v>
      </c>
      <c r="F17" s="76">
        <f>E17/E6</f>
        <v>0.70031783655659108</v>
      </c>
      <c r="H17" s="206">
        <f>SUM('ReStore South 22'!L54:L61)</f>
        <v>222442.23487999997</v>
      </c>
      <c r="I17" s="76">
        <f>H17/H6</f>
        <v>0.49718872346893156</v>
      </c>
    </row>
    <row r="18" spans="1:13" ht="15.75" x14ac:dyDescent="0.25">
      <c r="A18" s="92"/>
      <c r="C18" s="74"/>
      <c r="E18" s="206"/>
      <c r="F18" s="76"/>
      <c r="H18" s="206"/>
      <c r="I18" s="76"/>
    </row>
    <row r="19" spans="1:13" ht="15.75" x14ac:dyDescent="0.25">
      <c r="A19" s="92" t="s">
        <v>10</v>
      </c>
      <c r="C19" s="77">
        <v>0.15</v>
      </c>
      <c r="E19" s="208">
        <f>E6*F19</f>
        <v>11137.8</v>
      </c>
      <c r="F19" s="79">
        <v>0.03</v>
      </c>
      <c r="H19" s="208">
        <f>SUM('ReStore South 22'!L62:L77)</f>
        <v>17950.446822422276</v>
      </c>
      <c r="I19" s="79">
        <v>0.03</v>
      </c>
    </row>
    <row r="20" spans="1:13" ht="15.75" x14ac:dyDescent="0.25">
      <c r="A20" s="65"/>
      <c r="C20" s="77"/>
      <c r="E20" s="206"/>
      <c r="F20" s="76"/>
      <c r="H20" s="206"/>
      <c r="I20" s="76"/>
    </row>
    <row r="21" spans="1:13" ht="16.5" thickBot="1" x14ac:dyDescent="0.3">
      <c r="A21" s="65" t="s">
        <v>11</v>
      </c>
      <c r="C21" s="77">
        <v>0.75</v>
      </c>
      <c r="E21" s="209">
        <f>E13+E15+E17+E19</f>
        <v>328390</v>
      </c>
      <c r="F21" s="80">
        <f>E21/E6</f>
        <v>0.88452836287238057</v>
      </c>
      <c r="H21" s="209">
        <f>H13+H15+H17+H19</f>
        <v>268314.18970242224</v>
      </c>
      <c r="I21" s="80">
        <f>H21/H6</f>
        <v>0.59971879683152041</v>
      </c>
    </row>
    <row r="22" spans="1:13" ht="16.5" thickTop="1" x14ac:dyDescent="0.25">
      <c r="A22" s="65"/>
      <c r="B22" s="65"/>
      <c r="C22" s="77"/>
      <c r="E22" s="206"/>
      <c r="F22" s="76"/>
      <c r="H22" s="206"/>
      <c r="I22" s="76"/>
    </row>
    <row r="23" spans="1:13" ht="15.75" x14ac:dyDescent="0.25">
      <c r="A23" s="65" t="s">
        <v>12</v>
      </c>
      <c r="B23" s="65"/>
      <c r="C23" s="77">
        <v>0.25</v>
      </c>
      <c r="E23" s="206">
        <f>E6-E21</f>
        <v>42870</v>
      </c>
      <c r="F23" s="76">
        <f>E23/E6</f>
        <v>0.11547163712761946</v>
      </c>
      <c r="H23" s="206">
        <f>H6-H21</f>
        <v>179085.81029757776</v>
      </c>
      <c r="I23" s="76">
        <f>H23/H6</f>
        <v>0.40028120316847959</v>
      </c>
    </row>
    <row r="24" spans="1:13" ht="15.75" x14ac:dyDescent="0.25">
      <c r="A24" s="81"/>
      <c r="B24" s="81"/>
    </row>
    <row r="25" spans="1:13" ht="15.75" x14ac:dyDescent="0.25">
      <c r="A25" s="81" t="s">
        <v>13</v>
      </c>
      <c r="B25" s="81"/>
      <c r="C25" s="82"/>
      <c r="E25" s="63">
        <v>9770</v>
      </c>
      <c r="H25" s="63">
        <v>11473</v>
      </c>
    </row>
    <row r="26" spans="1:13" ht="15.75" x14ac:dyDescent="0.25">
      <c r="A26" s="81"/>
      <c r="B26" s="81"/>
    </row>
    <row r="27" spans="1:13" ht="15.75" x14ac:dyDescent="0.25">
      <c r="A27" s="81" t="s">
        <v>33</v>
      </c>
      <c r="B27" s="81"/>
      <c r="C27" s="83">
        <v>50</v>
      </c>
      <c r="E27" s="84">
        <v>38</v>
      </c>
      <c r="H27" s="84">
        <v>39</v>
      </c>
    </row>
    <row r="28" spans="1:13" ht="15.75" x14ac:dyDescent="0.25">
      <c r="A28" s="81"/>
      <c r="B28" s="81"/>
      <c r="C28" s="82"/>
    </row>
    <row r="29" spans="1:13" ht="15.75" x14ac:dyDescent="0.25">
      <c r="A29" s="85" t="s">
        <v>15</v>
      </c>
      <c r="B29" s="85"/>
      <c r="C29" s="86" t="s">
        <v>16</v>
      </c>
      <c r="D29" s="75"/>
      <c r="E29" s="75">
        <v>5.86</v>
      </c>
      <c r="F29" s="75"/>
      <c r="G29" s="75"/>
      <c r="H29" s="75">
        <f>+H15/H25</f>
        <v>2.2942131961997734</v>
      </c>
      <c r="I29" s="75"/>
    </row>
    <row r="30" spans="1:13" ht="15.75" x14ac:dyDescent="0.25">
      <c r="A30" s="81"/>
      <c r="B30" s="81"/>
      <c r="C30" s="81"/>
    </row>
    <row r="31" spans="1:13" ht="15.75" x14ac:dyDescent="0.25">
      <c r="A31" s="81"/>
      <c r="B31" s="81"/>
      <c r="C31" s="81"/>
    </row>
    <row r="32" spans="1:13" ht="16.5" thickBot="1" x14ac:dyDescent="0.3">
      <c r="A32" s="87" t="s">
        <v>17</v>
      </c>
      <c r="B32" s="87"/>
      <c r="C32" s="87"/>
      <c r="D32" s="88"/>
      <c r="E32" s="88"/>
      <c r="F32" s="88"/>
      <c r="G32" s="89"/>
      <c r="H32" s="90"/>
      <c r="I32" s="89"/>
      <c r="J32" s="88"/>
      <c r="K32" s="88"/>
      <c r="L32" s="88"/>
      <c r="M32" s="88"/>
    </row>
    <row r="33" spans="1:8" ht="16.5" thickBot="1" x14ac:dyDescent="0.3">
      <c r="A33" s="82" t="s">
        <v>18</v>
      </c>
      <c r="E33" s="94" t="s">
        <v>34</v>
      </c>
      <c r="H33" s="94" t="s">
        <v>34</v>
      </c>
    </row>
    <row r="34" spans="1:8" ht="15.75" x14ac:dyDescent="0.25">
      <c r="A34" s="82"/>
      <c r="B34" s="63" t="s">
        <v>19</v>
      </c>
      <c r="C34" s="75">
        <v>60000</v>
      </c>
      <c r="E34" s="320">
        <v>0.5</v>
      </c>
      <c r="H34" s="320">
        <v>0.5</v>
      </c>
    </row>
    <row r="35" spans="1:8" ht="15.75" x14ac:dyDescent="0.25">
      <c r="A35" s="82"/>
      <c r="B35" s="63" t="s">
        <v>20</v>
      </c>
      <c r="C35" s="75">
        <f>C34*0.25</f>
        <v>15000</v>
      </c>
      <c r="E35" s="320"/>
      <c r="F35" s="93"/>
      <c r="H35" s="320"/>
    </row>
    <row r="36" spans="1:8" ht="15.75" x14ac:dyDescent="0.25">
      <c r="A36" s="82"/>
      <c r="B36" s="63" t="s">
        <v>21</v>
      </c>
      <c r="C36" s="75">
        <f>C34*0.05</f>
        <v>3000</v>
      </c>
      <c r="E36" s="320"/>
      <c r="H36" s="320"/>
    </row>
    <row r="37" spans="1:8" ht="15.75" x14ac:dyDescent="0.25">
      <c r="A37" s="82"/>
      <c r="C37" s="72">
        <f>SUM(C34:C36)</f>
        <v>78000</v>
      </c>
      <c r="E37" s="95">
        <f>$C$37*E34</f>
        <v>39000</v>
      </c>
      <c r="H37" s="95">
        <f>$C$37*H34</f>
        <v>39000</v>
      </c>
    </row>
    <row r="38" spans="1:8" ht="15.75" x14ac:dyDescent="0.25">
      <c r="A38" s="82" t="s">
        <v>22</v>
      </c>
      <c r="C38" s="75"/>
    </row>
    <row r="39" spans="1:8" ht="15.75" x14ac:dyDescent="0.25">
      <c r="A39" s="82"/>
      <c r="B39" s="63" t="s">
        <v>19</v>
      </c>
      <c r="C39" s="75">
        <v>45000</v>
      </c>
      <c r="E39" s="320">
        <v>1</v>
      </c>
      <c r="H39" s="320">
        <v>1</v>
      </c>
    </row>
    <row r="40" spans="1:8" ht="15.75" x14ac:dyDescent="0.25">
      <c r="A40" s="82"/>
      <c r="B40" s="63" t="s">
        <v>20</v>
      </c>
      <c r="C40" s="75">
        <f>C39*0.25</f>
        <v>11250</v>
      </c>
      <c r="E40" s="320"/>
      <c r="H40" s="320"/>
    </row>
    <row r="41" spans="1:8" ht="15.75" x14ac:dyDescent="0.25">
      <c r="A41" s="82"/>
      <c r="B41" s="63" t="s">
        <v>21</v>
      </c>
      <c r="C41" s="75">
        <f>C39*0.05</f>
        <v>2250</v>
      </c>
      <c r="E41" s="320"/>
      <c r="H41" s="320"/>
    </row>
    <row r="42" spans="1:8" ht="15.75" x14ac:dyDescent="0.25">
      <c r="A42" s="82"/>
      <c r="C42" s="72">
        <f>SUM(C39:C41)</f>
        <v>58500</v>
      </c>
      <c r="E42" s="95">
        <f>$C$42*E39</f>
        <v>58500</v>
      </c>
      <c r="H42" s="95">
        <f>$C$42*H39</f>
        <v>58500</v>
      </c>
    </row>
    <row r="43" spans="1:8" ht="15.75" x14ac:dyDescent="0.25">
      <c r="A43" s="82" t="s">
        <v>23</v>
      </c>
      <c r="C43" s="75"/>
    </row>
    <row r="44" spans="1:8" ht="15.75" x14ac:dyDescent="0.25">
      <c r="A44" s="82"/>
      <c r="B44" s="63" t="s">
        <v>19</v>
      </c>
      <c r="C44" s="75">
        <v>35000</v>
      </c>
      <c r="E44" s="319">
        <v>3</v>
      </c>
      <c r="H44" s="320">
        <v>3</v>
      </c>
    </row>
    <row r="45" spans="1:8" ht="15" customHeight="1" x14ac:dyDescent="0.2">
      <c r="B45" s="63" t="s">
        <v>20</v>
      </c>
      <c r="C45" s="75">
        <f>C44*0.25</f>
        <v>8750</v>
      </c>
      <c r="E45" s="319"/>
      <c r="F45" s="93"/>
      <c r="H45" s="320"/>
    </row>
    <row r="46" spans="1:8" ht="15" customHeight="1" x14ac:dyDescent="0.2">
      <c r="B46" s="63" t="s">
        <v>21</v>
      </c>
      <c r="C46" s="75">
        <f>C44*0.05</f>
        <v>1750</v>
      </c>
      <c r="E46" s="319"/>
      <c r="H46" s="320"/>
    </row>
    <row r="47" spans="1:8" x14ac:dyDescent="0.2">
      <c r="C47" s="72">
        <f>SUM(C44:C46)</f>
        <v>45500</v>
      </c>
      <c r="E47" s="95">
        <f>$C$47*E44</f>
        <v>136500</v>
      </c>
      <c r="H47" s="95">
        <f>$C$47*H44</f>
        <v>136500</v>
      </c>
    </row>
    <row r="48" spans="1:8" ht="15.75" x14ac:dyDescent="0.25">
      <c r="A48" s="81" t="s">
        <v>24</v>
      </c>
      <c r="B48" s="81"/>
      <c r="C48" s="75"/>
    </row>
    <row r="49" spans="1:8" ht="15.75" x14ac:dyDescent="0.25">
      <c r="A49" s="81"/>
      <c r="B49" s="91" t="s">
        <v>19</v>
      </c>
      <c r="C49" s="75">
        <v>40000</v>
      </c>
      <c r="E49" s="320">
        <v>0.5</v>
      </c>
      <c r="H49" s="320">
        <v>0.5</v>
      </c>
    </row>
    <row r="50" spans="1:8" ht="15.75" x14ac:dyDescent="0.25">
      <c r="A50" s="81"/>
      <c r="B50" s="91" t="s">
        <v>20</v>
      </c>
      <c r="C50" s="75">
        <f>C49*0.25</f>
        <v>10000</v>
      </c>
      <c r="E50" s="320"/>
      <c r="H50" s="320"/>
    </row>
    <row r="51" spans="1:8" ht="15.75" x14ac:dyDescent="0.25">
      <c r="A51" s="81"/>
      <c r="B51" s="91" t="s">
        <v>21</v>
      </c>
      <c r="C51" s="78">
        <f>C49*0.05</f>
        <v>2000</v>
      </c>
      <c r="E51" s="320"/>
      <c r="H51" s="320"/>
    </row>
    <row r="52" spans="1:8" ht="15.75" x14ac:dyDescent="0.25">
      <c r="A52" s="81"/>
      <c r="B52" s="81"/>
      <c r="C52" s="75">
        <f>C49+C50+C51</f>
        <v>52000</v>
      </c>
      <c r="E52" s="95">
        <f>$C$52*E49</f>
        <v>26000</v>
      </c>
      <c r="H52" s="95">
        <f>$C$52*H49</f>
        <v>26000</v>
      </c>
    </row>
  </sheetData>
  <mergeCells count="11">
    <mergeCell ref="E44:E46"/>
    <mergeCell ref="H44:H46"/>
    <mergeCell ref="E49:E51"/>
    <mergeCell ref="H49:H51"/>
    <mergeCell ref="E3:I3"/>
    <mergeCell ref="E4:F4"/>
    <mergeCell ref="H4:I4"/>
    <mergeCell ref="E34:E36"/>
    <mergeCell ref="H34:H36"/>
    <mergeCell ref="E39:E41"/>
    <mergeCell ref="H39:H41"/>
  </mergeCells>
  <pageMargins left="0.7" right="0.7" top="0.75" bottom="0.75" header="0.3" footer="0.3"/>
  <pageSetup scale="51" orientation="landscape" horizontalDpi="0" verticalDpi="0"/>
  <headerFooter>
    <oddFooter>&amp;L&amp;"Calibri,Regular"&amp;K000000&amp;D&amp;R&amp;"Calibri,Regular"&amp;K000000&amp;F&amp;A</oddFooter>
  </headerFooter>
  <colBreaks count="1" manualBreakCount="1">
    <brk id="11" max="46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Spinner 1">
              <controlPr defaultSize="0" autoPict="0">
                <anchor moveWithCells="1" sizeWithCells="1">
                  <from>
                    <xdr:col>5</xdr:col>
                    <xdr:colOff>304800</xdr:colOff>
                    <xdr:row>25</xdr:row>
                    <xdr:rowOff>114300</xdr:rowOff>
                  </from>
                  <to>
                    <xdr:col>5</xdr:col>
                    <xdr:colOff>771525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Spinner 2">
              <controlPr defaultSize="0" autoPict="0">
                <anchor moveWithCells="1" sizeWithCells="1">
                  <from>
                    <xdr:col>8</xdr:col>
                    <xdr:colOff>314325</xdr:colOff>
                    <xdr:row>25</xdr:row>
                    <xdr:rowOff>66675</xdr:rowOff>
                  </from>
                  <to>
                    <xdr:col>8</xdr:col>
                    <xdr:colOff>752475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51"/>
  <sheetViews>
    <sheetView zoomScale="90" zoomScaleNormal="90" zoomScaleSheetLayoutView="100" workbookViewId="0">
      <selection activeCell="Z12" sqref="Z12"/>
    </sheetView>
  </sheetViews>
  <sheetFormatPr defaultColWidth="9.140625" defaultRowHeight="15.75" x14ac:dyDescent="0.25"/>
  <cols>
    <col min="1" max="1" width="2" style="8" customWidth="1"/>
    <col min="2" max="2" width="1.42578125" style="8" customWidth="1"/>
    <col min="3" max="3" width="24" style="8" bestFit="1" customWidth="1"/>
    <col min="4" max="4" width="14.42578125" style="8" bestFit="1" customWidth="1"/>
    <col min="5" max="5" width="4.42578125" style="8" customWidth="1"/>
    <col min="6" max="6" width="15.7109375" style="8" bestFit="1" customWidth="1"/>
    <col min="7" max="7" width="14.42578125" style="8" bestFit="1" customWidth="1"/>
    <col min="8" max="8" width="4.28515625" style="8" customWidth="1"/>
    <col min="9" max="9" width="15.7109375" style="8" bestFit="1" customWidth="1"/>
    <col min="10" max="10" width="14.42578125" style="8" bestFit="1" customWidth="1"/>
    <col min="11" max="11" width="9.140625" style="8"/>
    <col min="12" max="12" width="14" style="8" bestFit="1" customWidth="1"/>
    <col min="13" max="13" width="14.42578125" style="8" bestFit="1" customWidth="1"/>
    <col min="14" max="14" width="9.140625" style="8"/>
    <col min="15" max="15" width="14" style="8" customWidth="1"/>
    <col min="16" max="16" width="14.42578125" style="8" bestFit="1" customWidth="1"/>
    <col min="17" max="17" width="9.140625" style="8"/>
    <col min="18" max="18" width="14" style="8" bestFit="1" customWidth="1"/>
    <col min="19" max="19" width="14.42578125" style="8" bestFit="1" customWidth="1"/>
    <col min="20" max="20" width="9.140625" style="8"/>
    <col min="21" max="21" width="24" style="8" bestFit="1" customWidth="1"/>
    <col min="22" max="22" width="14.42578125" style="8" bestFit="1" customWidth="1"/>
    <col min="23" max="23" width="9.140625" style="8"/>
    <col min="24" max="24" width="24" style="8" bestFit="1" customWidth="1"/>
    <col min="25" max="25" width="14.42578125" style="8" bestFit="1" customWidth="1"/>
    <col min="26" max="26" width="9.140625" style="8"/>
    <col min="27" max="27" width="26.85546875" style="8" customWidth="1"/>
    <col min="28" max="28" width="14.42578125" style="8" bestFit="1" customWidth="1"/>
    <col min="29" max="16384" width="9.140625" style="8"/>
  </cols>
  <sheetData>
    <row r="1" spans="1:28" ht="16.5" thickBot="1" x14ac:dyDescent="0.3"/>
    <row r="2" spans="1:28" ht="16.5" thickBot="1" x14ac:dyDescent="0.3">
      <c r="F2" s="342" t="s">
        <v>38</v>
      </c>
      <c r="G2" s="343"/>
      <c r="H2" s="343"/>
      <c r="I2" s="343"/>
      <c r="J2" s="344"/>
      <c r="L2" s="336" t="s">
        <v>25</v>
      </c>
      <c r="M2" s="337"/>
      <c r="N2" s="337"/>
      <c r="O2" s="337"/>
      <c r="P2" s="338"/>
      <c r="R2" s="347" t="s">
        <v>30</v>
      </c>
      <c r="S2" s="348"/>
      <c r="T2" s="348"/>
      <c r="U2" s="348"/>
      <c r="V2" s="349"/>
      <c r="X2" s="351" t="s">
        <v>32</v>
      </c>
      <c r="Y2" s="352"/>
      <c r="Z2" s="352"/>
      <c r="AA2" s="352"/>
      <c r="AB2" s="353"/>
    </row>
    <row r="3" spans="1:28" x14ac:dyDescent="0.25">
      <c r="A3" s="1"/>
      <c r="B3" s="2"/>
      <c r="C3" s="2"/>
      <c r="D3" s="3" t="s">
        <v>0</v>
      </c>
      <c r="E3" s="4"/>
      <c r="F3" s="335" t="s">
        <v>1</v>
      </c>
      <c r="G3" s="335"/>
      <c r="H3" s="5"/>
      <c r="I3" s="335" t="s">
        <v>2</v>
      </c>
      <c r="J3" s="335"/>
      <c r="L3" s="339" t="s">
        <v>27</v>
      </c>
      <c r="M3" s="340"/>
      <c r="N3" s="96"/>
      <c r="O3" s="340" t="s">
        <v>28</v>
      </c>
      <c r="P3" s="341"/>
      <c r="R3" s="339" t="s">
        <v>29</v>
      </c>
      <c r="S3" s="340"/>
      <c r="T3" s="96"/>
      <c r="U3" s="340" t="s">
        <v>31</v>
      </c>
      <c r="V3" s="341"/>
      <c r="X3" s="339" t="s">
        <v>27</v>
      </c>
      <c r="Y3" s="340"/>
      <c r="Z3" s="96"/>
      <c r="AA3" s="340" t="s">
        <v>39</v>
      </c>
      <c r="AB3" s="341"/>
    </row>
    <row r="4" spans="1:28" x14ac:dyDescent="0.25">
      <c r="A4" s="6"/>
      <c r="B4" s="6"/>
      <c r="C4" s="6"/>
      <c r="D4" s="7" t="s">
        <v>3</v>
      </c>
      <c r="F4" s="9" t="s">
        <v>4</v>
      </c>
      <c r="G4" s="7" t="s">
        <v>3</v>
      </c>
      <c r="H4" s="10"/>
      <c r="I4" s="9" t="s">
        <v>4</v>
      </c>
      <c r="J4" s="7" t="s">
        <v>3</v>
      </c>
      <c r="L4" s="97" t="s">
        <v>26</v>
      </c>
      <c r="M4" s="42" t="s">
        <v>3</v>
      </c>
      <c r="N4" s="96"/>
      <c r="O4" s="41" t="s">
        <v>26</v>
      </c>
      <c r="P4" s="98" t="s">
        <v>3</v>
      </c>
      <c r="R4" s="118" t="s">
        <v>26</v>
      </c>
      <c r="S4" s="59" t="s">
        <v>3</v>
      </c>
      <c r="T4" s="96"/>
      <c r="U4" s="58" t="s">
        <v>26</v>
      </c>
      <c r="V4" s="119" t="s">
        <v>3</v>
      </c>
      <c r="X4" s="120" t="s">
        <v>26</v>
      </c>
      <c r="Y4" s="60" t="s">
        <v>3</v>
      </c>
      <c r="Z4" s="96"/>
      <c r="AA4" s="61" t="s">
        <v>26</v>
      </c>
      <c r="AB4" s="121" t="s">
        <v>3</v>
      </c>
    </row>
    <row r="5" spans="1:28" x14ac:dyDescent="0.25">
      <c r="A5" s="2" t="s">
        <v>5</v>
      </c>
      <c r="B5" s="2"/>
      <c r="C5" s="2"/>
      <c r="D5" s="11">
        <v>1</v>
      </c>
      <c r="E5" s="12"/>
      <c r="F5" s="13">
        <f>[3]Sheet2!F18</f>
        <v>1968965.44</v>
      </c>
      <c r="G5" s="14">
        <v>1</v>
      </c>
      <c r="H5" s="15"/>
      <c r="I5" s="13">
        <f>[3]Sheet2!I18</f>
        <v>1891373.13</v>
      </c>
      <c r="J5" s="14">
        <v>1</v>
      </c>
      <c r="L5" s="99">
        <f>L24*L26</f>
        <v>380064</v>
      </c>
      <c r="M5" s="48">
        <f>L5/L5</f>
        <v>1</v>
      </c>
      <c r="N5" s="96"/>
      <c r="O5" s="100">
        <f>O24*O26</f>
        <v>400000</v>
      </c>
      <c r="P5" s="101">
        <f>O5/O5</f>
        <v>1</v>
      </c>
      <c r="R5" s="99">
        <f>R24*R26</f>
        <v>390800</v>
      </c>
      <c r="S5" s="48">
        <f>R5/R5</f>
        <v>1</v>
      </c>
      <c r="T5" s="96"/>
      <c r="U5" s="100">
        <f>U24*U26</f>
        <v>450000</v>
      </c>
      <c r="V5" s="101">
        <f>U5/U5</f>
        <v>1</v>
      </c>
      <c r="X5" s="99">
        <f>X24*X26</f>
        <v>368187</v>
      </c>
      <c r="Y5" s="48">
        <f>X5/X5</f>
        <v>1</v>
      </c>
      <c r="Z5" s="96"/>
      <c r="AA5" s="100">
        <f>AA24*AA26</f>
        <v>493640</v>
      </c>
      <c r="AB5" s="101">
        <f>AA5/AA5</f>
        <v>1</v>
      </c>
    </row>
    <row r="6" spans="1:28" x14ac:dyDescent="0.25">
      <c r="A6" s="2"/>
      <c r="B6" s="2"/>
      <c r="C6" s="2"/>
      <c r="D6" s="53"/>
      <c r="E6" s="12"/>
      <c r="F6" s="54"/>
      <c r="G6" s="55"/>
      <c r="H6" s="15"/>
      <c r="I6" s="54"/>
      <c r="J6" s="55"/>
      <c r="L6" s="102"/>
      <c r="M6" s="103"/>
      <c r="N6" s="96"/>
      <c r="O6" s="100"/>
      <c r="P6" s="101"/>
      <c r="R6" s="102"/>
      <c r="S6" s="103"/>
      <c r="T6" s="96"/>
      <c r="U6" s="100"/>
      <c r="V6" s="101"/>
      <c r="X6" s="102"/>
      <c r="Y6" s="103"/>
      <c r="Z6" s="96"/>
      <c r="AA6" s="100"/>
      <c r="AB6" s="101"/>
    </row>
    <row r="7" spans="1:28" x14ac:dyDescent="0.25">
      <c r="A7" s="65" t="s">
        <v>40</v>
      </c>
      <c r="B7" s="2"/>
      <c r="C7" s="2"/>
      <c r="D7" s="53"/>
      <c r="E7" s="12"/>
      <c r="F7" s="54"/>
      <c r="G7" s="55"/>
      <c r="H7" s="15"/>
      <c r="I7" s="54"/>
      <c r="J7" s="55"/>
      <c r="L7" s="102"/>
      <c r="M7" s="103"/>
      <c r="N7" s="96"/>
      <c r="O7" s="100"/>
      <c r="P7" s="101"/>
      <c r="R7" s="102"/>
      <c r="S7" s="103"/>
      <c r="T7" s="96"/>
      <c r="U7" s="100"/>
      <c r="V7" s="101"/>
      <c r="X7" s="102"/>
      <c r="Y7" s="103"/>
      <c r="Z7" s="96"/>
      <c r="AA7" s="100"/>
      <c r="AB7" s="101"/>
    </row>
    <row r="8" spans="1:28" x14ac:dyDescent="0.25">
      <c r="A8" s="65"/>
      <c r="B8" s="2"/>
      <c r="C8" s="2"/>
      <c r="D8" s="53"/>
      <c r="E8" s="12"/>
      <c r="F8" s="54"/>
      <c r="G8" s="55"/>
      <c r="H8" s="15"/>
      <c r="I8" s="54"/>
      <c r="J8" s="55"/>
      <c r="L8" s="102"/>
      <c r="M8" s="103"/>
      <c r="N8" s="96"/>
      <c r="O8" s="100"/>
      <c r="P8" s="101"/>
      <c r="R8" s="102"/>
      <c r="S8" s="103"/>
      <c r="T8" s="96"/>
      <c r="U8" s="100"/>
      <c r="V8" s="101"/>
      <c r="X8" s="102"/>
      <c r="Y8" s="103"/>
      <c r="Z8" s="96"/>
      <c r="AA8" s="100"/>
      <c r="AB8" s="101"/>
    </row>
    <row r="9" spans="1:28" x14ac:dyDescent="0.25">
      <c r="A9" s="65" t="s">
        <v>41</v>
      </c>
      <c r="B9" s="2"/>
      <c r="C9" s="2"/>
      <c r="D9" s="53"/>
      <c r="E9" s="12"/>
      <c r="F9" s="54"/>
      <c r="G9" s="55"/>
      <c r="H9" s="15"/>
      <c r="I9" s="54"/>
      <c r="J9" s="55"/>
      <c r="L9" s="102"/>
      <c r="M9" s="103"/>
      <c r="N9" s="96"/>
      <c r="O9" s="100"/>
      <c r="P9" s="101"/>
      <c r="R9" s="102"/>
      <c r="S9" s="103"/>
      <c r="T9" s="96"/>
      <c r="U9" s="100"/>
      <c r="V9" s="101"/>
      <c r="X9" s="102"/>
      <c r="Y9" s="103"/>
      <c r="Z9" s="96"/>
      <c r="AA9" s="100"/>
      <c r="AB9" s="101"/>
    </row>
    <row r="10" spans="1:28" x14ac:dyDescent="0.25">
      <c r="A10" s="2"/>
      <c r="B10" s="2"/>
      <c r="C10" s="2"/>
      <c r="D10" s="53"/>
      <c r="E10" s="12"/>
      <c r="F10" s="54"/>
      <c r="G10" s="55"/>
      <c r="H10" s="15"/>
      <c r="I10" s="54"/>
      <c r="J10" s="55"/>
      <c r="L10" s="102"/>
      <c r="M10" s="103"/>
      <c r="N10" s="96"/>
      <c r="O10" s="100"/>
      <c r="P10" s="101"/>
      <c r="R10" s="102"/>
      <c r="S10" s="103"/>
      <c r="T10" s="96"/>
      <c r="U10" s="100"/>
      <c r="V10" s="101"/>
      <c r="X10" s="102"/>
      <c r="Y10" s="103"/>
      <c r="Z10" s="96"/>
      <c r="AA10" s="100"/>
      <c r="AB10" s="101"/>
    </row>
    <row r="11" spans="1:28" x14ac:dyDescent="0.25">
      <c r="A11" s="2" t="s">
        <v>6</v>
      </c>
      <c r="C11" s="2"/>
      <c r="D11" s="12"/>
      <c r="E11" s="12"/>
      <c r="F11" s="16"/>
      <c r="G11" s="17"/>
      <c r="H11" s="15"/>
      <c r="I11" s="16"/>
      <c r="J11" s="17"/>
      <c r="L11" s="102"/>
      <c r="M11" s="103"/>
      <c r="N11" s="96"/>
      <c r="O11" s="96"/>
      <c r="P11" s="101"/>
      <c r="R11" s="102"/>
      <c r="S11" s="103"/>
      <c r="T11" s="96"/>
      <c r="U11" s="96"/>
      <c r="V11" s="101"/>
      <c r="X11" s="102"/>
      <c r="Y11" s="103"/>
      <c r="Z11" s="96"/>
      <c r="AA11" s="96"/>
      <c r="AB11" s="101"/>
    </row>
    <row r="12" spans="1:28" x14ac:dyDescent="0.25">
      <c r="A12" s="2"/>
      <c r="B12" s="2"/>
      <c r="C12" s="2" t="s">
        <v>7</v>
      </c>
      <c r="D12" s="12">
        <v>0.05</v>
      </c>
      <c r="E12" s="12"/>
      <c r="F12" s="16">
        <f>4953.79+1796.64</f>
        <v>6750.43</v>
      </c>
      <c r="G12" s="17">
        <f>F12/F$5</f>
        <v>3.428414670396653E-3</v>
      </c>
      <c r="H12" s="15"/>
      <c r="I12" s="16">
        <f>4953.79+1796.64</f>
        <v>6750.43</v>
      </c>
      <c r="J12" s="17">
        <f>I12/I$5</f>
        <v>3.5690630753541478E-3</v>
      </c>
      <c r="L12" s="102">
        <f>L5*0.05</f>
        <v>19003.2</v>
      </c>
      <c r="M12" s="103">
        <f>L12/L5</f>
        <v>0.05</v>
      </c>
      <c r="N12" s="96"/>
      <c r="O12" s="100">
        <f>O5*P12</f>
        <v>20000</v>
      </c>
      <c r="P12" s="101">
        <v>0.05</v>
      </c>
      <c r="R12" s="102">
        <f>R5*0.05</f>
        <v>19540</v>
      </c>
      <c r="S12" s="103">
        <f>R12/R5</f>
        <v>0.05</v>
      </c>
      <c r="T12" s="96"/>
      <c r="U12" s="100">
        <f>U5*V12</f>
        <v>22500</v>
      </c>
      <c r="V12" s="101">
        <v>0.05</v>
      </c>
      <c r="X12" s="102">
        <f>X5*0.05</f>
        <v>18409.350000000002</v>
      </c>
      <c r="Y12" s="103">
        <f>X12/X5</f>
        <v>0.05</v>
      </c>
      <c r="Z12" s="96"/>
      <c r="AA12" s="100">
        <f>AA5*AB12</f>
        <v>24682</v>
      </c>
      <c r="AB12" s="101">
        <v>0.05</v>
      </c>
    </row>
    <row r="13" spans="1:28" x14ac:dyDescent="0.25">
      <c r="A13" s="2"/>
      <c r="B13" s="2"/>
      <c r="C13" s="2"/>
      <c r="D13" s="12"/>
      <c r="E13" s="12"/>
      <c r="F13" s="16"/>
      <c r="G13" s="17"/>
      <c r="H13" s="15"/>
      <c r="I13" s="16"/>
      <c r="J13" s="17"/>
      <c r="L13" s="102"/>
      <c r="M13" s="103"/>
      <c r="N13" s="96"/>
      <c r="O13" s="96"/>
      <c r="P13" s="101"/>
      <c r="R13" s="102"/>
      <c r="S13" s="103"/>
      <c r="T13" s="96"/>
      <c r="U13" s="96"/>
      <c r="V13" s="101"/>
      <c r="X13" s="102"/>
      <c r="Y13" s="103"/>
      <c r="Z13" s="96"/>
      <c r="AA13" s="96"/>
      <c r="AB13" s="101"/>
    </row>
    <row r="14" spans="1:28" x14ac:dyDescent="0.25">
      <c r="A14" s="2"/>
      <c r="B14" s="2"/>
      <c r="C14" s="2" t="s">
        <v>8</v>
      </c>
      <c r="D14" s="12">
        <v>0.15</v>
      </c>
      <c r="E14" s="12"/>
      <c r="F14" s="16">
        <f>[3]Sheet2!F22+[3]Sheet2!F23+[3]Sheet2!F24</f>
        <v>286386.59999999998</v>
      </c>
      <c r="G14" s="17">
        <f>F14/F$5</f>
        <v>0.14545029292134248</v>
      </c>
      <c r="H14" s="15"/>
      <c r="I14" s="16">
        <f>[3]Sheet2!I22+[3]Sheet2!I23+[3]Sheet2!I24</f>
        <v>171200.67</v>
      </c>
      <c r="J14" s="17">
        <f>I14/I$5</f>
        <v>9.0516602612409972E-2</v>
      </c>
      <c r="L14" s="102">
        <f>L24*L28</f>
        <v>34205.760000000002</v>
      </c>
      <c r="M14" s="103">
        <f>L14/L5</f>
        <v>9.0000000000000011E-2</v>
      </c>
      <c r="N14" s="96"/>
      <c r="O14" s="100">
        <f>O24*O28</f>
        <v>150000</v>
      </c>
      <c r="P14" s="101">
        <f>O14/O5</f>
        <v>0.375</v>
      </c>
      <c r="R14" s="102">
        <f>R24*R28</f>
        <v>57252.200000000004</v>
      </c>
      <c r="S14" s="103">
        <f>R14/R5</f>
        <v>0.14650000000000002</v>
      </c>
      <c r="T14" s="96"/>
      <c r="U14" s="100">
        <f>U24*U28</f>
        <v>225000</v>
      </c>
      <c r="V14" s="101">
        <f>U14/U5</f>
        <v>0.5</v>
      </c>
      <c r="X14" s="102">
        <f>X24*X28</f>
        <v>34205.760000000002</v>
      </c>
      <c r="Y14" s="103">
        <f>X14/X5</f>
        <v>9.290322580645162E-2</v>
      </c>
      <c r="Z14" s="96"/>
      <c r="AA14" s="100">
        <f>AA24*AA28</f>
        <v>160720</v>
      </c>
      <c r="AB14" s="101">
        <f>AA14/AA5</f>
        <v>0.32558139534883723</v>
      </c>
    </row>
    <row r="15" spans="1:28" x14ac:dyDescent="0.25">
      <c r="A15" s="2"/>
      <c r="B15" s="2"/>
      <c r="C15" s="2"/>
      <c r="D15" s="12"/>
      <c r="E15" s="12"/>
      <c r="F15" s="16"/>
      <c r="G15" s="17"/>
      <c r="H15" s="15"/>
      <c r="I15" s="16"/>
      <c r="J15" s="17"/>
      <c r="L15" s="102"/>
      <c r="M15" s="103"/>
      <c r="N15" s="96"/>
      <c r="O15" s="96"/>
      <c r="P15" s="101"/>
      <c r="R15" s="102"/>
      <c r="S15" s="103"/>
      <c r="T15" s="96"/>
      <c r="U15" s="96"/>
      <c r="V15" s="101"/>
      <c r="X15" s="102"/>
      <c r="Y15" s="103"/>
      <c r="Z15" s="96"/>
      <c r="AA15" s="96"/>
      <c r="AB15" s="101"/>
    </row>
    <row r="16" spans="1:28" x14ac:dyDescent="0.25">
      <c r="A16" s="2"/>
      <c r="B16" s="2"/>
      <c r="C16" s="2" t="s">
        <v>9</v>
      </c>
      <c r="D16" s="12">
        <v>0.4</v>
      </c>
      <c r="E16" s="12"/>
      <c r="F16" s="16">
        <f>[3]Sheet2!F26+[3]Sheet2!F27+[3]Sheet2!F28</f>
        <v>1071373.02</v>
      </c>
      <c r="G16" s="17">
        <f>F16/F$5</f>
        <v>0.5441299264247117</v>
      </c>
      <c r="H16" s="15"/>
      <c r="I16" s="16">
        <f>[3]Sheet2!I26+[3]Sheet2!I27+[3]Sheet2!I28</f>
        <v>957957.77999999991</v>
      </c>
      <c r="J16" s="17">
        <f>I16/I$5</f>
        <v>0.506487992668057</v>
      </c>
      <c r="L16" s="102">
        <f>L36+L41+L46+L51</f>
        <v>260000</v>
      </c>
      <c r="M16" s="103">
        <f>L16/L5</f>
        <v>0.68409531026353454</v>
      </c>
      <c r="N16" s="96"/>
      <c r="O16" s="100">
        <f>O36+O41+O46+O51</f>
        <v>260000</v>
      </c>
      <c r="P16" s="101">
        <f>O16/O5</f>
        <v>0.65</v>
      </c>
      <c r="R16" s="102">
        <f>R36+R41+R46+R51</f>
        <v>260000</v>
      </c>
      <c r="S16" s="103">
        <f>R16/R5</f>
        <v>0.66530194472876147</v>
      </c>
      <c r="T16" s="96"/>
      <c r="U16" s="100">
        <f>U36+U41+U46+U51</f>
        <v>260000</v>
      </c>
      <c r="V16" s="101">
        <f>U16/U5</f>
        <v>0.57777777777777772</v>
      </c>
      <c r="X16" s="102">
        <f>X36+X41+X46+X51</f>
        <v>260000</v>
      </c>
      <c r="Y16" s="103">
        <f>X16/X5</f>
        <v>0.70616290091719702</v>
      </c>
      <c r="Z16" s="96"/>
      <c r="AA16" s="100">
        <f>AA36+AA41+AA46+AA51</f>
        <v>260000</v>
      </c>
      <c r="AB16" s="101">
        <f>AA16/AA5</f>
        <v>0.52669961915565999</v>
      </c>
    </row>
    <row r="17" spans="1:28" x14ac:dyDescent="0.25">
      <c r="A17" s="2"/>
      <c r="B17" s="2"/>
      <c r="C17" s="2"/>
      <c r="D17" s="12"/>
      <c r="E17" s="12"/>
      <c r="F17" s="16"/>
      <c r="G17" s="17"/>
      <c r="H17" s="15"/>
      <c r="I17" s="16"/>
      <c r="J17" s="17"/>
      <c r="L17" s="102"/>
      <c r="M17" s="103"/>
      <c r="N17" s="96"/>
      <c r="O17" s="96"/>
      <c r="P17" s="101"/>
      <c r="R17" s="102"/>
      <c r="S17" s="103"/>
      <c r="T17" s="96"/>
      <c r="U17" s="96"/>
      <c r="V17" s="101"/>
      <c r="X17" s="102"/>
      <c r="Y17" s="103"/>
      <c r="Z17" s="96"/>
      <c r="AA17" s="96"/>
      <c r="AB17" s="101"/>
    </row>
    <row r="18" spans="1:28" x14ac:dyDescent="0.25">
      <c r="A18" s="2"/>
      <c r="B18" s="2"/>
      <c r="C18" s="2" t="s">
        <v>10</v>
      </c>
      <c r="D18" s="53">
        <v>0.15</v>
      </c>
      <c r="E18" s="53"/>
      <c r="F18" s="13">
        <f>SUM([3]Sheet2!F30:F39)</f>
        <v>62405.420000000006</v>
      </c>
      <c r="G18" s="14">
        <f>F18/F$5</f>
        <v>3.1694522784513679E-2</v>
      </c>
      <c r="H18" s="15"/>
      <c r="I18" s="13">
        <f>SUM([3]Sheet2!I30:I39)</f>
        <v>66150.179999999993</v>
      </c>
      <c r="J18" s="14">
        <f>I18/I$5</f>
        <v>3.4974685296496728E-2</v>
      </c>
      <c r="L18" s="104">
        <f>L5*M18</f>
        <v>11401.92</v>
      </c>
      <c r="M18" s="49">
        <v>0.03</v>
      </c>
      <c r="N18" s="96"/>
      <c r="O18" s="51">
        <f>O5*P18</f>
        <v>12000</v>
      </c>
      <c r="P18" s="105">
        <v>0.03</v>
      </c>
      <c r="R18" s="104">
        <f>R5*S18</f>
        <v>11724</v>
      </c>
      <c r="S18" s="49">
        <v>0.03</v>
      </c>
      <c r="T18" s="96"/>
      <c r="U18" s="51">
        <f>U5*V18</f>
        <v>13500</v>
      </c>
      <c r="V18" s="105">
        <v>0.03</v>
      </c>
      <c r="X18" s="104">
        <f>X5*Y18</f>
        <v>11045.609999999999</v>
      </c>
      <c r="Y18" s="49">
        <v>0.03</v>
      </c>
      <c r="Z18" s="96"/>
      <c r="AA18" s="51">
        <f>AA5*AB18</f>
        <v>14809.199999999999</v>
      </c>
      <c r="AB18" s="105">
        <v>0.03</v>
      </c>
    </row>
    <row r="19" spans="1:28" x14ac:dyDescent="0.25">
      <c r="A19" s="2"/>
      <c r="B19" s="2"/>
      <c r="C19" s="2"/>
      <c r="D19" s="53"/>
      <c r="E19" s="53"/>
      <c r="F19" s="54"/>
      <c r="G19" s="55"/>
      <c r="H19" s="15"/>
      <c r="I19" s="54"/>
      <c r="J19" s="55"/>
      <c r="L19" s="102"/>
      <c r="M19" s="103"/>
      <c r="N19" s="96"/>
      <c r="O19" s="96"/>
      <c r="P19" s="101"/>
      <c r="R19" s="102"/>
      <c r="S19" s="103"/>
      <c r="T19" s="96"/>
      <c r="U19" s="96"/>
      <c r="V19" s="101"/>
      <c r="X19" s="102"/>
      <c r="Y19" s="103"/>
      <c r="Z19" s="96"/>
      <c r="AA19" s="96"/>
      <c r="AB19" s="101"/>
    </row>
    <row r="20" spans="1:28" ht="16.5" thickBot="1" x14ac:dyDescent="0.3">
      <c r="A20" s="2"/>
      <c r="B20" s="2" t="s">
        <v>11</v>
      </c>
      <c r="C20" s="2"/>
      <c r="D20" s="53">
        <v>0.75</v>
      </c>
      <c r="E20" s="53"/>
      <c r="F20" s="56">
        <f>SUM(F12:F19)</f>
        <v>1426915.47</v>
      </c>
      <c r="G20" s="57">
        <f>SUM(G12:G18)</f>
        <v>0.72470315680096453</v>
      </c>
      <c r="H20" s="15"/>
      <c r="I20" s="56">
        <f>SUM(I12:I19)</f>
        <v>1202059.0599999998</v>
      </c>
      <c r="J20" s="57">
        <f>I20/I$5</f>
        <v>0.63554834365231772</v>
      </c>
      <c r="L20" s="106">
        <f>L12+L14+L16+L18</f>
        <v>324610.88</v>
      </c>
      <c r="M20" s="50">
        <f>L20/L5</f>
        <v>0.85409531026353458</v>
      </c>
      <c r="N20" s="96"/>
      <c r="O20" s="52">
        <f>O12+O14+O16+O18</f>
        <v>442000</v>
      </c>
      <c r="P20" s="107">
        <f>O20/O5</f>
        <v>1.105</v>
      </c>
      <c r="R20" s="106">
        <f>R12+R14+R16+R18</f>
        <v>348516.2</v>
      </c>
      <c r="S20" s="50">
        <f>R20/R5</f>
        <v>0.89180194472876151</v>
      </c>
      <c r="T20" s="96"/>
      <c r="U20" s="52">
        <f>U12+U14+U16+U18</f>
        <v>521000</v>
      </c>
      <c r="V20" s="107">
        <f>U20/U5</f>
        <v>1.1577777777777778</v>
      </c>
      <c r="X20" s="106">
        <f>X12+X14+X16+X18</f>
        <v>323660.71999999997</v>
      </c>
      <c r="Y20" s="50">
        <f>X20/X5</f>
        <v>0.87906612672364848</v>
      </c>
      <c r="Z20" s="96"/>
      <c r="AA20" s="52">
        <f>AA12+AA14+AA16+AA18</f>
        <v>460211.20000000001</v>
      </c>
      <c r="AB20" s="107">
        <f>AA20/AA5</f>
        <v>0.93228101450449719</v>
      </c>
    </row>
    <row r="21" spans="1:28" ht="16.5" thickTop="1" x14ac:dyDescent="0.25">
      <c r="A21" s="2"/>
      <c r="B21" s="2"/>
      <c r="C21" s="2"/>
      <c r="D21" s="53"/>
      <c r="E21" s="53"/>
      <c r="F21" s="54"/>
      <c r="G21" s="55"/>
      <c r="H21" s="15"/>
      <c r="I21" s="54"/>
      <c r="J21" s="55"/>
      <c r="L21" s="102"/>
      <c r="M21" s="103"/>
      <c r="N21" s="96"/>
      <c r="O21" s="96"/>
      <c r="P21" s="101"/>
      <c r="R21" s="102"/>
      <c r="S21" s="103"/>
      <c r="T21" s="96"/>
      <c r="U21" s="96"/>
      <c r="V21" s="101"/>
      <c r="X21" s="102"/>
      <c r="Y21" s="103"/>
      <c r="Z21" s="96"/>
      <c r="AA21" s="96"/>
      <c r="AB21" s="101"/>
    </row>
    <row r="22" spans="1:28" x14ac:dyDescent="0.25">
      <c r="A22" s="2" t="s">
        <v>12</v>
      </c>
      <c r="B22" s="2"/>
      <c r="C22" s="2"/>
      <c r="D22" s="53">
        <v>0.25</v>
      </c>
      <c r="E22" s="53"/>
      <c r="F22" s="54">
        <f>F5-F20</f>
        <v>542049.97</v>
      </c>
      <c r="G22" s="55">
        <f>F22/F5</f>
        <v>0.27529684319903552</v>
      </c>
      <c r="H22" s="15"/>
      <c r="I22" s="54">
        <f>I5-I20</f>
        <v>689314.07000000007</v>
      </c>
      <c r="J22" s="55">
        <f>I22/I$5</f>
        <v>0.36445165634768223</v>
      </c>
      <c r="L22" s="102">
        <f>L5-L20</f>
        <v>55453.119999999995</v>
      </c>
      <c r="M22" s="103">
        <f>L22/L5</f>
        <v>0.14590468973646542</v>
      </c>
      <c r="N22" s="96"/>
      <c r="O22" s="100">
        <f>O5-O20</f>
        <v>-42000</v>
      </c>
      <c r="P22" s="101">
        <f>O22/O5</f>
        <v>-0.105</v>
      </c>
      <c r="R22" s="102">
        <f>R5-R20</f>
        <v>42283.799999999988</v>
      </c>
      <c r="S22" s="103">
        <f>R22/R5</f>
        <v>0.10819805527123845</v>
      </c>
      <c r="T22" s="96"/>
      <c r="U22" s="100">
        <f>U5-U20</f>
        <v>-71000</v>
      </c>
      <c r="V22" s="101">
        <f>U22/U5</f>
        <v>-0.15777777777777777</v>
      </c>
      <c r="X22" s="102">
        <f>X5-X20</f>
        <v>44526.280000000028</v>
      </c>
      <c r="Y22" s="103">
        <f>X22/X5</f>
        <v>0.12093387327635149</v>
      </c>
      <c r="Z22" s="96"/>
      <c r="AA22" s="100">
        <f>AA5-AA20</f>
        <v>33428.799999999988</v>
      </c>
      <c r="AB22" s="101">
        <f>AA22/AA5</f>
        <v>6.7718985495502773E-2</v>
      </c>
    </row>
    <row r="23" spans="1:28" x14ac:dyDescent="0.25">
      <c r="A23" s="18"/>
      <c r="B23" s="18"/>
      <c r="C23" s="18"/>
      <c r="F23" s="62"/>
      <c r="G23" s="17"/>
      <c r="H23" s="20"/>
      <c r="I23" s="62"/>
      <c r="J23" s="17"/>
      <c r="L23" s="108"/>
      <c r="M23" s="96"/>
      <c r="N23" s="96"/>
      <c r="O23" s="96"/>
      <c r="P23" s="109"/>
      <c r="R23" s="108"/>
      <c r="S23" s="96"/>
      <c r="T23" s="96"/>
      <c r="U23" s="96"/>
      <c r="V23" s="109"/>
      <c r="X23" s="108"/>
      <c r="Y23" s="96"/>
      <c r="Z23" s="96"/>
      <c r="AA23" s="96"/>
      <c r="AB23" s="109"/>
    </row>
    <row r="24" spans="1:28" x14ac:dyDescent="0.25">
      <c r="A24" s="18" t="s">
        <v>13</v>
      </c>
      <c r="B24" s="18"/>
      <c r="C24" s="18"/>
      <c r="D24" s="4"/>
      <c r="E24" s="4"/>
      <c r="F24" s="21">
        <v>9770</v>
      </c>
      <c r="G24" s="22"/>
      <c r="H24" s="23"/>
      <c r="I24" s="21">
        <v>11877</v>
      </c>
      <c r="J24" s="22"/>
      <c r="L24" s="108">
        <v>11877</v>
      </c>
      <c r="M24" s="96"/>
      <c r="N24" s="96"/>
      <c r="O24" s="96">
        <v>10000</v>
      </c>
      <c r="P24" s="109"/>
      <c r="R24" s="108">
        <v>9770</v>
      </c>
      <c r="S24" s="96"/>
      <c r="T24" s="96"/>
      <c r="U24" s="96">
        <v>9000</v>
      </c>
      <c r="V24" s="109"/>
      <c r="X24" s="108">
        <v>11877</v>
      </c>
      <c r="Y24" s="96"/>
      <c r="Z24" s="96"/>
      <c r="AA24" s="96">
        <v>11480</v>
      </c>
      <c r="AB24" s="109"/>
    </row>
    <row r="25" spans="1:28" x14ac:dyDescent="0.25">
      <c r="A25" s="18"/>
      <c r="B25" s="18"/>
      <c r="C25" s="18"/>
      <c r="F25" s="19"/>
      <c r="G25" s="17"/>
      <c r="H25" s="20"/>
      <c r="I25" s="19"/>
      <c r="J25" s="17"/>
      <c r="L25" s="108"/>
      <c r="M25" s="96"/>
      <c r="N25" s="96"/>
      <c r="O25" s="96"/>
      <c r="P25" s="109"/>
      <c r="R25" s="108"/>
      <c r="S25" s="96"/>
      <c r="T25" s="96"/>
      <c r="U25" s="96"/>
      <c r="V25" s="109"/>
      <c r="X25" s="108"/>
      <c r="Y25" s="96"/>
      <c r="Z25" s="96"/>
      <c r="AA25" s="96"/>
      <c r="AB25" s="109"/>
    </row>
    <row r="26" spans="1:28" x14ac:dyDescent="0.25">
      <c r="A26" s="18" t="s">
        <v>14</v>
      </c>
      <c r="B26" s="18"/>
      <c r="C26" s="18"/>
      <c r="D26" s="24">
        <v>50</v>
      </c>
      <c r="E26" s="25"/>
      <c r="F26" s="24">
        <f>(F5/F24)/5</f>
        <v>40.306354964176045</v>
      </c>
      <c r="G26" s="22"/>
      <c r="H26" s="26"/>
      <c r="I26" s="24">
        <f>(I5/I24)/5</f>
        <v>31.849341247789845</v>
      </c>
      <c r="J26" s="22"/>
      <c r="L26" s="110">
        <v>32</v>
      </c>
      <c r="M26" s="96"/>
      <c r="N26" s="96"/>
      <c r="O26" s="111">
        <v>40</v>
      </c>
      <c r="P26" s="109"/>
      <c r="R26" s="110">
        <v>40</v>
      </c>
      <c r="S26" s="96"/>
      <c r="T26" s="96"/>
      <c r="U26" s="111">
        <v>50</v>
      </c>
      <c r="V26" s="109"/>
      <c r="X26" s="110">
        <v>31</v>
      </c>
      <c r="Y26" s="96"/>
      <c r="Z26" s="96"/>
      <c r="AA26" s="111">
        <v>43</v>
      </c>
      <c r="AB26" s="109"/>
    </row>
    <row r="27" spans="1:28" x14ac:dyDescent="0.25">
      <c r="A27" s="18"/>
      <c r="B27" s="18"/>
      <c r="C27" s="18"/>
      <c r="D27" s="4"/>
      <c r="E27" s="4"/>
      <c r="F27" s="27"/>
      <c r="G27" s="22"/>
      <c r="H27" s="26"/>
      <c r="I27" s="27"/>
      <c r="J27" s="22"/>
      <c r="L27" s="108"/>
      <c r="M27" s="96"/>
      <c r="N27" s="96"/>
      <c r="O27" s="96"/>
      <c r="P27" s="109"/>
      <c r="R27" s="108"/>
      <c r="S27" s="96"/>
      <c r="T27" s="96"/>
      <c r="U27" s="96"/>
      <c r="V27" s="109"/>
      <c r="X27" s="108"/>
      <c r="Y27" s="96"/>
      <c r="Z27" s="96"/>
      <c r="AA27" s="96"/>
      <c r="AB27" s="109"/>
    </row>
    <row r="28" spans="1:28" s="37" customFormat="1" x14ac:dyDescent="0.25">
      <c r="A28" s="43" t="s">
        <v>15</v>
      </c>
      <c r="B28" s="43"/>
      <c r="C28" s="43"/>
      <c r="D28" s="44" t="s">
        <v>16</v>
      </c>
      <c r="E28" s="45"/>
      <c r="F28" s="24">
        <f>(F14/F24)/5</f>
        <v>5.8625711361310131</v>
      </c>
      <c r="G28" s="45"/>
      <c r="H28" s="46"/>
      <c r="I28" s="24">
        <f>(I14/I24)/5</f>
        <v>2.8828941651932309</v>
      </c>
      <c r="J28" s="45"/>
      <c r="L28" s="102">
        <v>2.88</v>
      </c>
      <c r="M28" s="112"/>
      <c r="N28" s="112"/>
      <c r="O28" s="113">
        <v>15</v>
      </c>
      <c r="P28" s="114"/>
      <c r="R28" s="102">
        <v>5.86</v>
      </c>
      <c r="S28" s="112"/>
      <c r="T28" s="112"/>
      <c r="U28" s="113">
        <v>25</v>
      </c>
      <c r="V28" s="114"/>
      <c r="X28" s="102">
        <v>2.88</v>
      </c>
      <c r="Y28" s="112"/>
      <c r="Z28" s="112"/>
      <c r="AA28" s="113">
        <v>14</v>
      </c>
      <c r="AB28" s="114"/>
    </row>
    <row r="29" spans="1:28" x14ac:dyDescent="0.25">
      <c r="A29" s="18"/>
      <c r="B29" s="18"/>
      <c r="C29" s="18"/>
      <c r="F29" s="19"/>
      <c r="G29" s="17"/>
      <c r="H29" s="20"/>
      <c r="I29" s="19"/>
      <c r="J29" s="12"/>
      <c r="L29" s="108"/>
      <c r="M29" s="96"/>
      <c r="N29" s="96"/>
      <c r="O29" s="96"/>
      <c r="P29" s="109"/>
      <c r="R29" s="108"/>
      <c r="S29" s="96"/>
      <c r="T29" s="96"/>
      <c r="U29" s="96"/>
      <c r="V29" s="109"/>
      <c r="X29" s="108"/>
      <c r="Y29" s="96"/>
      <c r="Z29" s="96"/>
      <c r="AA29" s="96"/>
      <c r="AB29" s="109"/>
    </row>
    <row r="30" spans="1:28" x14ac:dyDescent="0.25">
      <c r="A30" s="18"/>
      <c r="B30" s="18"/>
      <c r="C30" s="18"/>
      <c r="F30" s="19"/>
      <c r="G30" s="17"/>
      <c r="H30" s="20"/>
      <c r="I30" s="19"/>
      <c r="J30" s="28"/>
      <c r="L30" s="115"/>
      <c r="M30" s="116"/>
      <c r="N30" s="116"/>
      <c r="O30" s="116"/>
      <c r="P30" s="117"/>
      <c r="R30" s="115"/>
      <c r="S30" s="116"/>
      <c r="T30" s="116"/>
      <c r="U30" s="116"/>
      <c r="V30" s="117"/>
      <c r="X30" s="115"/>
      <c r="Y30" s="116"/>
      <c r="Z30" s="116"/>
      <c r="AA30" s="116"/>
      <c r="AB30" s="117"/>
    </row>
    <row r="31" spans="1:28" x14ac:dyDescent="0.25">
      <c r="A31" s="29" t="s">
        <v>17</v>
      </c>
      <c r="B31" s="29"/>
      <c r="C31" s="29"/>
      <c r="D31" s="30"/>
      <c r="E31" s="30"/>
      <c r="F31" s="31"/>
      <c r="G31" s="32"/>
      <c r="H31" s="33"/>
      <c r="I31" s="31"/>
      <c r="J31" s="34"/>
      <c r="K31" s="31"/>
      <c r="L31" s="34"/>
      <c r="M31" s="31"/>
      <c r="N31" s="34"/>
      <c r="O31" s="31"/>
      <c r="P31" s="34"/>
      <c r="Q31" s="31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x14ac:dyDescent="0.25">
      <c r="A32" s="18"/>
      <c r="B32" s="4" t="s">
        <v>18</v>
      </c>
      <c r="F32" s="35"/>
      <c r="G32" s="36"/>
      <c r="L32" s="123" t="s">
        <v>37</v>
      </c>
      <c r="O32" s="123" t="s">
        <v>37</v>
      </c>
      <c r="R32" s="123" t="s">
        <v>37</v>
      </c>
      <c r="U32" s="123" t="s">
        <v>37</v>
      </c>
      <c r="X32" s="123" t="s">
        <v>37</v>
      </c>
      <c r="AA32" s="123" t="s">
        <v>37</v>
      </c>
    </row>
    <row r="33" spans="1:27" ht="15.75" customHeight="1" x14ac:dyDescent="0.25">
      <c r="A33" s="18"/>
      <c r="B33" s="4"/>
      <c r="C33" s="8" t="s">
        <v>19</v>
      </c>
      <c r="D33" s="37">
        <v>60000</v>
      </c>
      <c r="G33" s="36"/>
      <c r="L33" s="350">
        <v>0.5</v>
      </c>
      <c r="O33" s="350">
        <v>0.5</v>
      </c>
      <c r="R33" s="350">
        <v>0.5</v>
      </c>
      <c r="U33" s="350">
        <v>0.5</v>
      </c>
      <c r="X33" s="350">
        <v>0.5</v>
      </c>
      <c r="AA33" s="350">
        <v>0.5</v>
      </c>
    </row>
    <row r="34" spans="1:27" x14ac:dyDescent="0.25">
      <c r="A34" s="18"/>
      <c r="B34" s="4"/>
      <c r="C34" s="8" t="s">
        <v>20</v>
      </c>
      <c r="D34" s="37">
        <f>D33*0.25</f>
        <v>15000</v>
      </c>
      <c r="G34" s="36"/>
      <c r="L34" s="350"/>
      <c r="O34" s="350"/>
      <c r="R34" s="350"/>
      <c r="U34" s="350"/>
      <c r="X34" s="350"/>
      <c r="AA34" s="350"/>
    </row>
    <row r="35" spans="1:27" x14ac:dyDescent="0.25">
      <c r="A35" s="18"/>
      <c r="B35" s="4"/>
      <c r="C35" s="8" t="s">
        <v>21</v>
      </c>
      <c r="D35" s="37">
        <f>D33*0.05</f>
        <v>3000</v>
      </c>
      <c r="G35" s="36"/>
      <c r="L35" s="346"/>
      <c r="O35" s="346"/>
      <c r="R35" s="346"/>
      <c r="U35" s="346"/>
      <c r="X35" s="346"/>
      <c r="AA35" s="346"/>
    </row>
    <row r="36" spans="1:27" x14ac:dyDescent="0.25">
      <c r="A36" s="18"/>
      <c r="B36" s="4"/>
      <c r="D36" s="38">
        <f>SUM(D33:D35)</f>
        <v>78000</v>
      </c>
      <c r="G36" s="36"/>
      <c r="L36" s="47">
        <f>$D$36*L33</f>
        <v>39000</v>
      </c>
      <c r="O36" s="47">
        <f>$D$36*O33</f>
        <v>39000</v>
      </c>
      <c r="R36" s="47">
        <f>$D$36*R33</f>
        <v>39000</v>
      </c>
      <c r="U36" s="47">
        <f>$D$36*U33</f>
        <v>39000</v>
      </c>
      <c r="X36" s="47">
        <f>$D$36*X33</f>
        <v>39000</v>
      </c>
      <c r="AA36" s="47">
        <f>$D$36*AA33</f>
        <v>39000</v>
      </c>
    </row>
    <row r="37" spans="1:27" x14ac:dyDescent="0.25">
      <c r="A37" s="18"/>
      <c r="B37" s="4" t="s">
        <v>22</v>
      </c>
      <c r="D37" s="37"/>
      <c r="G37" s="36"/>
    </row>
    <row r="38" spans="1:27" x14ac:dyDescent="0.25">
      <c r="A38" s="18"/>
      <c r="B38" s="4"/>
      <c r="C38" s="8" t="s">
        <v>19</v>
      </c>
      <c r="D38" s="37">
        <v>45000</v>
      </c>
      <c r="G38" s="36"/>
      <c r="L38" s="350">
        <v>1</v>
      </c>
      <c r="O38" s="350">
        <v>1</v>
      </c>
      <c r="R38" s="350">
        <v>1</v>
      </c>
      <c r="U38" s="350">
        <v>1</v>
      </c>
      <c r="X38" s="350">
        <v>1</v>
      </c>
      <c r="AA38" s="350">
        <v>1</v>
      </c>
    </row>
    <row r="39" spans="1:27" x14ac:dyDescent="0.25">
      <c r="A39" s="18"/>
      <c r="B39" s="4"/>
      <c r="C39" s="8" t="s">
        <v>20</v>
      </c>
      <c r="D39" s="37">
        <f>D38*0.25</f>
        <v>11250</v>
      </c>
      <c r="G39" s="36"/>
      <c r="L39" s="350"/>
      <c r="O39" s="350"/>
      <c r="R39" s="350"/>
      <c r="U39" s="350"/>
      <c r="X39" s="350"/>
      <c r="AA39" s="350"/>
    </row>
    <row r="40" spans="1:27" x14ac:dyDescent="0.25">
      <c r="A40" s="18"/>
      <c r="B40" s="4"/>
      <c r="C40" s="8" t="s">
        <v>21</v>
      </c>
      <c r="D40" s="37">
        <f>D38*0.05</f>
        <v>2250</v>
      </c>
      <c r="G40" s="36"/>
      <c r="L40" s="346"/>
      <c r="O40" s="346"/>
      <c r="R40" s="346"/>
      <c r="U40" s="346"/>
      <c r="X40" s="346"/>
      <c r="AA40" s="346"/>
    </row>
    <row r="41" spans="1:27" x14ac:dyDescent="0.25">
      <c r="A41" s="18"/>
      <c r="B41" s="4"/>
      <c r="D41" s="38">
        <f>SUM(D38:D40)</f>
        <v>58500</v>
      </c>
      <c r="G41" s="36"/>
      <c r="L41" s="47">
        <f>$D$41*L38</f>
        <v>58500</v>
      </c>
      <c r="O41" s="47">
        <f>$D$41*O38</f>
        <v>58500</v>
      </c>
      <c r="R41" s="47">
        <f>$D$41*R38</f>
        <v>58500</v>
      </c>
      <c r="U41" s="47">
        <f>$D$41*U38</f>
        <v>58500</v>
      </c>
      <c r="X41" s="47">
        <f>$D$41*X38</f>
        <v>58500</v>
      </c>
      <c r="AA41" s="47">
        <f>$D$41*AA38</f>
        <v>58500</v>
      </c>
    </row>
    <row r="42" spans="1:27" x14ac:dyDescent="0.25">
      <c r="A42" s="18"/>
      <c r="B42" s="4" t="s">
        <v>23</v>
      </c>
      <c r="D42" s="37"/>
      <c r="G42" s="36"/>
    </row>
    <row r="43" spans="1:27" x14ac:dyDescent="0.25">
      <c r="A43" s="18"/>
      <c r="B43" s="4"/>
      <c r="C43" s="8" t="s">
        <v>19</v>
      </c>
      <c r="D43" s="37">
        <v>35000</v>
      </c>
      <c r="G43" s="36"/>
      <c r="L43" s="350">
        <v>3</v>
      </c>
      <c r="O43" s="350">
        <v>3</v>
      </c>
      <c r="R43" s="350">
        <v>3</v>
      </c>
      <c r="U43" s="350">
        <v>3</v>
      </c>
      <c r="X43" s="350">
        <v>3</v>
      </c>
      <c r="AA43" s="350">
        <v>3</v>
      </c>
    </row>
    <row r="44" spans="1:27" x14ac:dyDescent="0.25">
      <c r="A44" s="18"/>
      <c r="C44" s="8" t="s">
        <v>20</v>
      </c>
      <c r="D44" s="37">
        <f>D43*0.25</f>
        <v>8750</v>
      </c>
      <c r="G44" s="36"/>
      <c r="L44" s="350"/>
      <c r="O44" s="350"/>
      <c r="R44" s="350"/>
      <c r="U44" s="350"/>
      <c r="X44" s="350"/>
      <c r="AA44" s="350"/>
    </row>
    <row r="45" spans="1:27" x14ac:dyDescent="0.25">
      <c r="A45" s="18"/>
      <c r="C45" s="8" t="s">
        <v>21</v>
      </c>
      <c r="D45" s="37">
        <f>D43*0.05</f>
        <v>1750</v>
      </c>
      <c r="G45" s="36"/>
      <c r="L45" s="346"/>
      <c r="O45" s="346"/>
      <c r="R45" s="346"/>
      <c r="U45" s="346"/>
      <c r="X45" s="346"/>
      <c r="AA45" s="346"/>
    </row>
    <row r="46" spans="1:27" x14ac:dyDescent="0.25">
      <c r="A46" s="18"/>
      <c r="D46" s="38">
        <f>SUM(D43:D45)</f>
        <v>45500</v>
      </c>
      <c r="G46" s="36"/>
      <c r="L46" s="47">
        <f>$D$46*L43</f>
        <v>136500</v>
      </c>
      <c r="O46" s="47">
        <f>$D$46*O43</f>
        <v>136500</v>
      </c>
      <c r="R46" s="47">
        <f>$D$46*R43</f>
        <v>136500</v>
      </c>
      <c r="U46" s="47">
        <f>$D$46*U43</f>
        <v>136500</v>
      </c>
      <c r="X46" s="47">
        <f>$D$46*X43</f>
        <v>136500</v>
      </c>
      <c r="AA46" s="47">
        <f>$D$46*AA43</f>
        <v>136500</v>
      </c>
    </row>
    <row r="47" spans="1:27" x14ac:dyDescent="0.25">
      <c r="A47" s="18"/>
      <c r="B47" s="18" t="s">
        <v>24</v>
      </c>
      <c r="C47" s="18"/>
      <c r="D47" s="37"/>
      <c r="F47" s="19"/>
      <c r="G47" s="17"/>
      <c r="H47" s="20"/>
      <c r="I47" s="19"/>
      <c r="J47" s="12"/>
    </row>
    <row r="48" spans="1:27" ht="15.75" customHeight="1" x14ac:dyDescent="0.25">
      <c r="A48" s="18"/>
      <c r="B48" s="18"/>
      <c r="C48" s="39" t="s">
        <v>19</v>
      </c>
      <c r="D48" s="37">
        <v>40000</v>
      </c>
      <c r="F48" s="19"/>
      <c r="G48" s="17"/>
      <c r="H48" s="20"/>
      <c r="I48" s="19"/>
      <c r="J48" s="12"/>
      <c r="L48" s="345">
        <v>0.5</v>
      </c>
      <c r="O48" s="345">
        <v>0.5</v>
      </c>
      <c r="R48" s="345">
        <v>0.5</v>
      </c>
      <c r="U48" s="345">
        <v>0.5</v>
      </c>
      <c r="X48" s="345">
        <v>0.5</v>
      </c>
      <c r="AA48" s="345">
        <v>0.5</v>
      </c>
    </row>
    <row r="49" spans="1:27" x14ac:dyDescent="0.25">
      <c r="A49" s="18"/>
      <c r="B49" s="18"/>
      <c r="C49" s="39" t="s">
        <v>20</v>
      </c>
      <c r="D49" s="37">
        <f>D48*0.25</f>
        <v>10000</v>
      </c>
      <c r="F49" s="19"/>
      <c r="G49" s="17"/>
      <c r="H49" s="20"/>
      <c r="I49" s="19"/>
      <c r="J49" s="12"/>
      <c r="L49" s="345"/>
      <c r="O49" s="345"/>
      <c r="R49" s="345"/>
      <c r="U49" s="345"/>
      <c r="X49" s="345"/>
      <c r="AA49" s="345"/>
    </row>
    <row r="50" spans="1:27" x14ac:dyDescent="0.25">
      <c r="A50" s="18"/>
      <c r="B50" s="18"/>
      <c r="C50" s="39" t="s">
        <v>21</v>
      </c>
      <c r="D50" s="40">
        <f>D48*0.05</f>
        <v>2000</v>
      </c>
      <c r="F50" s="19"/>
      <c r="G50" s="17"/>
      <c r="H50" s="20"/>
      <c r="I50" s="19"/>
      <c r="J50" s="12"/>
      <c r="L50" s="346"/>
      <c r="O50" s="346"/>
      <c r="R50" s="346"/>
      <c r="U50" s="346"/>
      <c r="X50" s="346"/>
      <c r="AA50" s="346"/>
    </row>
    <row r="51" spans="1:27" x14ac:dyDescent="0.25">
      <c r="A51" s="18"/>
      <c r="B51" s="18"/>
      <c r="C51" s="18"/>
      <c r="D51" s="37">
        <f>D48+D49+D50</f>
        <v>52000</v>
      </c>
      <c r="F51" s="19"/>
      <c r="G51" s="17"/>
      <c r="H51" s="20"/>
      <c r="I51" s="19"/>
      <c r="J51" s="12"/>
      <c r="L51" s="47">
        <f>$D$51*0.5</f>
        <v>26000</v>
      </c>
      <c r="O51" s="47">
        <f>$D$51*0.5</f>
        <v>26000</v>
      </c>
      <c r="R51" s="47">
        <f>$D$51*0.5</f>
        <v>26000</v>
      </c>
      <c r="U51" s="47">
        <f>$D$51*0.5</f>
        <v>26000</v>
      </c>
      <c r="X51" s="47">
        <f>$D$51*0.5</f>
        <v>26000</v>
      </c>
      <c r="AA51" s="47">
        <f>$D$51*0.5</f>
        <v>26000</v>
      </c>
    </row>
  </sheetData>
  <mergeCells count="36">
    <mergeCell ref="R48:R50"/>
    <mergeCell ref="U48:U50"/>
    <mergeCell ref="X2:AB2"/>
    <mergeCell ref="X3:Y3"/>
    <mergeCell ref="AA3:AB3"/>
    <mergeCell ref="X33:X35"/>
    <mergeCell ref="X38:X40"/>
    <mergeCell ref="X43:X45"/>
    <mergeCell ref="X48:X50"/>
    <mergeCell ref="AA33:AA35"/>
    <mergeCell ref="AA38:AA40"/>
    <mergeCell ref="AA43:AA45"/>
    <mergeCell ref="AA48:AA50"/>
    <mergeCell ref="U43:U45"/>
    <mergeCell ref="L48:L50"/>
    <mergeCell ref="O48:O50"/>
    <mergeCell ref="R2:V2"/>
    <mergeCell ref="R3:S3"/>
    <mergeCell ref="U3:V3"/>
    <mergeCell ref="R33:R35"/>
    <mergeCell ref="U33:U35"/>
    <mergeCell ref="R38:R40"/>
    <mergeCell ref="U38:U40"/>
    <mergeCell ref="R43:R45"/>
    <mergeCell ref="L33:L35"/>
    <mergeCell ref="O33:O35"/>
    <mergeCell ref="L38:L40"/>
    <mergeCell ref="O38:O40"/>
    <mergeCell ref="L43:L45"/>
    <mergeCell ref="O43:O45"/>
    <mergeCell ref="F3:G3"/>
    <mergeCell ref="I3:J3"/>
    <mergeCell ref="L2:P2"/>
    <mergeCell ref="L3:M3"/>
    <mergeCell ref="O3:P3"/>
    <mergeCell ref="F2:J2"/>
  </mergeCells>
  <pageMargins left="0.7" right="0.7" top="0.75" bottom="0.75" header="0.3" footer="0.3"/>
  <pageSetup scale="29" orientation="landscape" r:id="rId1"/>
  <headerFooter>
    <oddFooter>&amp;L&amp;"Calibri,Regular"&amp;K000000&amp;D&amp;R&amp;"Calibri,Regular"&amp;K000000&amp;F&amp;A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Spinner 10">
              <controlPr defaultSize="0" autoPict="0">
                <anchor moveWithCells="1" sizeWithCells="1">
                  <from>
                    <xdr:col>10</xdr:col>
                    <xdr:colOff>104775</xdr:colOff>
                    <xdr:row>24</xdr:row>
                    <xdr:rowOff>66675</xdr:rowOff>
                  </from>
                  <to>
                    <xdr:col>10</xdr:col>
                    <xdr:colOff>542925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Spinner 11">
              <controlPr defaultSize="0" autoPict="0">
                <anchor moveWithCells="1" sizeWithCells="1">
                  <from>
                    <xdr:col>13</xdr:col>
                    <xdr:colOff>104775</xdr:colOff>
                    <xdr:row>24</xdr:row>
                    <xdr:rowOff>66675</xdr:rowOff>
                  </from>
                  <to>
                    <xdr:col>13</xdr:col>
                    <xdr:colOff>561975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Spinner 12">
              <controlPr defaultSize="0" autoPict="0">
                <anchor moveWithCells="1" sizeWithCells="1">
                  <from>
                    <xdr:col>16</xdr:col>
                    <xdr:colOff>104775</xdr:colOff>
                    <xdr:row>24</xdr:row>
                    <xdr:rowOff>66675</xdr:rowOff>
                  </from>
                  <to>
                    <xdr:col>16</xdr:col>
                    <xdr:colOff>561975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Spinner 13">
              <controlPr defaultSize="0" autoPict="0">
                <anchor moveWithCells="1" sizeWithCells="1">
                  <from>
                    <xdr:col>19</xdr:col>
                    <xdr:colOff>104775</xdr:colOff>
                    <xdr:row>24</xdr:row>
                    <xdr:rowOff>66675</xdr:rowOff>
                  </from>
                  <to>
                    <xdr:col>19</xdr:col>
                    <xdr:colOff>561975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Spinner 14">
              <controlPr defaultSize="0" autoPict="0">
                <anchor moveWithCells="1" sizeWithCells="1">
                  <from>
                    <xdr:col>22</xdr:col>
                    <xdr:colOff>104775</xdr:colOff>
                    <xdr:row>24</xdr:row>
                    <xdr:rowOff>66675</xdr:rowOff>
                  </from>
                  <to>
                    <xdr:col>22</xdr:col>
                    <xdr:colOff>561975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Spinner 15">
              <controlPr defaultSize="0" autoPict="0">
                <anchor moveWithCells="1" sizeWithCells="1">
                  <from>
                    <xdr:col>25</xdr:col>
                    <xdr:colOff>104775</xdr:colOff>
                    <xdr:row>24</xdr:row>
                    <xdr:rowOff>66675</xdr:rowOff>
                  </from>
                  <to>
                    <xdr:col>25</xdr:col>
                    <xdr:colOff>561975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15</xdr:col>
                    <xdr:colOff>200025</xdr:colOff>
                    <xdr:row>27</xdr:row>
                    <xdr:rowOff>47625</xdr:rowOff>
                  </from>
                  <to>
                    <xdr:col>15</xdr:col>
                    <xdr:colOff>676275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Spinner 19">
              <controlPr defaultSize="0" autoPict="0">
                <anchor moveWithCells="1" sizeWithCells="1">
                  <from>
                    <xdr:col>21</xdr:col>
                    <xdr:colOff>228600</xdr:colOff>
                    <xdr:row>27</xdr:row>
                    <xdr:rowOff>66675</xdr:rowOff>
                  </from>
                  <to>
                    <xdr:col>21</xdr:col>
                    <xdr:colOff>695325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Spinner 20">
              <controlPr defaultSize="0" autoPict="0">
                <anchor moveWithCells="1" sizeWithCells="1">
                  <from>
                    <xdr:col>27</xdr:col>
                    <xdr:colOff>257175</xdr:colOff>
                    <xdr:row>27</xdr:row>
                    <xdr:rowOff>38100</xdr:rowOff>
                  </from>
                  <to>
                    <xdr:col>27</xdr:col>
                    <xdr:colOff>723900</xdr:colOff>
                    <xdr:row>29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H60"/>
  <sheetViews>
    <sheetView showGridLines="0" topLeftCell="A15" zoomScale="80" zoomScaleNormal="80" workbookViewId="0">
      <selection activeCell="A15" sqref="A15"/>
    </sheetView>
  </sheetViews>
  <sheetFormatPr defaultColWidth="11.42578125" defaultRowHeight="15" x14ac:dyDescent="0.25"/>
  <cols>
    <col min="2" max="2" width="1.7109375" customWidth="1"/>
    <col min="7" max="8" width="12.85546875" customWidth="1"/>
    <col min="9" max="9" width="0" hidden="1" customWidth="1"/>
    <col min="10" max="10" width="6.28515625" customWidth="1"/>
    <col min="11" max="12" width="12.85546875" customWidth="1"/>
    <col min="13" max="13" width="0" hidden="1" customWidth="1"/>
    <col min="15" max="16" width="12.85546875" customWidth="1"/>
    <col min="17" max="17" width="0" hidden="1" customWidth="1"/>
    <col min="19" max="20" width="12.85546875" customWidth="1"/>
    <col min="21" max="21" width="0" hidden="1" customWidth="1"/>
    <col min="23" max="24" width="12.85546875" customWidth="1"/>
    <col min="25" max="25" width="0" hidden="1" customWidth="1"/>
    <col min="27" max="28" width="12.85546875" customWidth="1"/>
    <col min="29" max="29" width="0" hidden="1" customWidth="1"/>
    <col min="31" max="32" width="12.85546875" customWidth="1"/>
    <col min="33" max="33" width="0" hidden="1" customWidth="1"/>
  </cols>
  <sheetData>
    <row r="1" spans="1:1" ht="23.25" x14ac:dyDescent="0.35">
      <c r="A1" s="247" t="s">
        <v>200</v>
      </c>
    </row>
    <row r="29" spans="3:34" ht="16.5" thickBot="1" x14ac:dyDescent="0.3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3:34" ht="16.5" thickBot="1" x14ac:dyDescent="0.3">
      <c r="C30" s="248"/>
      <c r="D30" s="249"/>
      <c r="E30" s="249"/>
      <c r="F30" s="250"/>
      <c r="G30" s="219"/>
      <c r="H30" s="219"/>
      <c r="I30" s="251"/>
      <c r="J30" s="249"/>
      <c r="K30" s="219"/>
      <c r="L30" s="219"/>
      <c r="M30" s="251"/>
      <c r="N30" s="249"/>
      <c r="O30" s="219"/>
      <c r="P30" s="219"/>
      <c r="Q30" s="251"/>
      <c r="R30" s="249"/>
      <c r="S30" s="219"/>
      <c r="T30" s="219"/>
      <c r="U30" s="251"/>
      <c r="V30" s="249"/>
      <c r="W30" s="219"/>
      <c r="X30" s="219"/>
      <c r="Y30" s="251"/>
      <c r="Z30" s="249"/>
      <c r="AA30" s="219"/>
      <c r="AB30" s="219"/>
      <c r="AC30" s="251"/>
      <c r="AD30" s="249"/>
      <c r="AE30" s="219"/>
      <c r="AF30" s="220"/>
    </row>
    <row r="31" spans="3:34" s="246" customFormat="1" ht="21" x14ac:dyDescent="0.35">
      <c r="C31" s="292"/>
      <c r="D31" s="293"/>
      <c r="E31" s="295"/>
      <c r="F31" s="294"/>
      <c r="G31" s="316" t="s">
        <v>178</v>
      </c>
      <c r="H31" s="316"/>
      <c r="I31" s="296"/>
      <c r="J31" s="296"/>
      <c r="K31" s="316" t="s">
        <v>178</v>
      </c>
      <c r="L31" s="316"/>
      <c r="M31" s="296"/>
      <c r="N31" s="296"/>
      <c r="O31" s="316" t="s">
        <v>178</v>
      </c>
      <c r="P31" s="316"/>
      <c r="Q31" s="296"/>
      <c r="R31" s="296"/>
      <c r="S31" s="316" t="s">
        <v>178</v>
      </c>
      <c r="T31" s="316"/>
      <c r="U31" s="296"/>
      <c r="V31" s="296"/>
      <c r="W31" s="316" t="s">
        <v>178</v>
      </c>
      <c r="X31" s="316"/>
      <c r="Y31" s="296"/>
      <c r="Z31" s="296"/>
      <c r="AA31" s="316" t="s">
        <v>178</v>
      </c>
      <c r="AB31" s="316"/>
      <c r="AC31" s="296"/>
      <c r="AD31" s="296"/>
      <c r="AE31" s="316" t="s">
        <v>178</v>
      </c>
      <c r="AF31" s="316"/>
      <c r="AG31" s="291"/>
    </row>
    <row r="32" spans="3:34" ht="15.75" x14ac:dyDescent="0.25">
      <c r="C32" s="253"/>
      <c r="D32" s="254"/>
      <c r="E32" s="252"/>
      <c r="F32" s="217"/>
      <c r="G32" s="69" t="s">
        <v>26</v>
      </c>
      <c r="H32" s="70" t="s">
        <v>3</v>
      </c>
      <c r="I32" s="255"/>
      <c r="J32" s="255"/>
      <c r="K32" s="69" t="s">
        <v>26</v>
      </c>
      <c r="L32" s="70" t="s">
        <v>3</v>
      </c>
      <c r="M32" s="255"/>
      <c r="N32" s="255"/>
      <c r="O32" s="69" t="s">
        <v>26</v>
      </c>
      <c r="P32" s="70" t="s">
        <v>3</v>
      </c>
      <c r="Q32" s="255"/>
      <c r="R32" s="255"/>
      <c r="S32" s="69" t="s">
        <v>26</v>
      </c>
      <c r="T32" s="70" t="s">
        <v>3</v>
      </c>
      <c r="U32" s="255"/>
      <c r="V32" s="255"/>
      <c r="W32" s="69" t="s">
        <v>26</v>
      </c>
      <c r="X32" s="70" t="s">
        <v>3</v>
      </c>
      <c r="Y32" s="255"/>
      <c r="Z32" s="255"/>
      <c r="AA32" s="69" t="s">
        <v>26</v>
      </c>
      <c r="AB32" s="70" t="s">
        <v>3</v>
      </c>
      <c r="AC32" s="255"/>
      <c r="AD32" s="255"/>
      <c r="AE32" s="69" t="s">
        <v>26</v>
      </c>
      <c r="AF32" s="256" t="s">
        <v>3</v>
      </c>
      <c r="AG32" s="63"/>
    </row>
    <row r="33" spans="3:33" ht="15.75" x14ac:dyDescent="0.25">
      <c r="C33" s="257" t="s">
        <v>180</v>
      </c>
      <c r="D33" s="258"/>
      <c r="E33" s="252"/>
      <c r="F33" s="77"/>
      <c r="G33" s="204">
        <f>(((+G37+G50)/(1-(H52+0.013))))</f>
        <v>542150.91736462479</v>
      </c>
      <c r="H33" s="73">
        <f>G33/G33</f>
        <v>1</v>
      </c>
      <c r="I33" s="255"/>
      <c r="J33" s="255"/>
      <c r="K33" s="204">
        <f>(((+K37+K50)/(1-(L52+0.013))))</f>
        <v>574537.47156800749</v>
      </c>
      <c r="L33" s="73">
        <f>K33/K33</f>
        <v>1</v>
      </c>
      <c r="M33" s="255"/>
      <c r="N33" s="255"/>
      <c r="O33" s="204">
        <f>(((+O37+O50)/(1-(P52+0.013))))</f>
        <v>611039.21690269664</v>
      </c>
      <c r="P33" s="73">
        <f>O33/O33</f>
        <v>1</v>
      </c>
      <c r="Q33" s="255"/>
      <c r="R33" s="255"/>
      <c r="S33" s="204">
        <f>(((+S37+S50)/(1-(T52+0.013))))</f>
        <v>652493.70922988094</v>
      </c>
      <c r="T33" s="73">
        <f>S33/S33</f>
        <v>1</v>
      </c>
      <c r="U33" s="255"/>
      <c r="V33" s="255"/>
      <c r="W33" s="204">
        <f>(((+W37+W50)/(1-(X52+0.013))))</f>
        <v>699982.3343557819</v>
      </c>
      <c r="X33" s="73">
        <f>W33/W33</f>
        <v>1</v>
      </c>
      <c r="Y33" s="255"/>
      <c r="Z33" s="255"/>
      <c r="AA33" s="204">
        <f>(((+AA37+AA50)/(1-(AB52+0.013))))</f>
        <v>754926.00267256238</v>
      </c>
      <c r="AB33" s="73">
        <f>AA33/AA33</f>
        <v>1</v>
      </c>
      <c r="AC33" s="255"/>
      <c r="AD33" s="255"/>
      <c r="AE33" s="204">
        <f>(((+AE37+AE50)/(1-(AF52+0.013))))</f>
        <v>819229.75077073637</v>
      </c>
      <c r="AF33" s="259">
        <f>AE33/AE33</f>
        <v>1</v>
      </c>
      <c r="AG33" s="63"/>
    </row>
    <row r="34" spans="3:33" ht="15.75" x14ac:dyDescent="0.25">
      <c r="C34" s="257"/>
      <c r="D34" s="258"/>
      <c r="E34" s="252"/>
      <c r="F34" s="77"/>
      <c r="G34" s="205"/>
      <c r="H34" s="125"/>
      <c r="I34" s="255"/>
      <c r="J34" s="255"/>
      <c r="K34" s="205"/>
      <c r="L34" s="125"/>
      <c r="M34" s="255"/>
      <c r="N34" s="255"/>
      <c r="O34" s="205"/>
      <c r="P34" s="125"/>
      <c r="Q34" s="255"/>
      <c r="R34" s="255"/>
      <c r="S34" s="205"/>
      <c r="T34" s="125"/>
      <c r="U34" s="255"/>
      <c r="V34" s="255"/>
      <c r="W34" s="205"/>
      <c r="X34" s="125"/>
      <c r="Y34" s="255"/>
      <c r="Z34" s="255"/>
      <c r="AA34" s="205"/>
      <c r="AB34" s="125"/>
      <c r="AC34" s="255"/>
      <c r="AD34" s="255"/>
      <c r="AE34" s="205"/>
      <c r="AF34" s="260"/>
      <c r="AG34" s="63"/>
    </row>
    <row r="35" spans="3:33" ht="15.75" x14ac:dyDescent="0.25">
      <c r="C35" s="257"/>
      <c r="D35" s="258"/>
      <c r="E35" s="252"/>
      <c r="F35" s="77"/>
      <c r="G35" s="205"/>
      <c r="H35" s="125"/>
      <c r="I35" s="255"/>
      <c r="J35" s="255"/>
      <c r="K35" s="205"/>
      <c r="L35" s="125"/>
      <c r="M35" s="255"/>
      <c r="N35" s="255"/>
      <c r="O35" s="205"/>
      <c r="P35" s="125"/>
      <c r="Q35" s="255"/>
      <c r="R35" s="255"/>
      <c r="S35" s="205"/>
      <c r="T35" s="125"/>
      <c r="U35" s="255"/>
      <c r="V35" s="255"/>
      <c r="W35" s="205"/>
      <c r="X35" s="125"/>
      <c r="Y35" s="255"/>
      <c r="Z35" s="255"/>
      <c r="AA35" s="205"/>
      <c r="AB35" s="125"/>
      <c r="AC35" s="255"/>
      <c r="AD35" s="255"/>
      <c r="AE35" s="205"/>
      <c r="AF35" s="260"/>
      <c r="AG35" s="63"/>
    </row>
    <row r="36" spans="3:33" ht="15.75" x14ac:dyDescent="0.25">
      <c r="C36" s="257" t="s">
        <v>155</v>
      </c>
      <c r="D36" s="258"/>
      <c r="E36" s="252"/>
      <c r="F36" s="77"/>
      <c r="G36" s="205">
        <f>+G33*0.013</f>
        <v>7047.9619257401218</v>
      </c>
      <c r="H36" s="125">
        <f>+G36/G33</f>
        <v>1.2999999999999999E-2</v>
      </c>
      <c r="I36" s="255"/>
      <c r="J36" s="255"/>
      <c r="K36" s="205">
        <f>+K33*0.013</f>
        <v>7468.9871303840973</v>
      </c>
      <c r="L36" s="125">
        <f>+K36/K33</f>
        <v>1.2999999999999999E-2</v>
      </c>
      <c r="M36" s="255"/>
      <c r="N36" s="255"/>
      <c r="O36" s="205">
        <f>+O33*0.013</f>
        <v>7943.5098197350562</v>
      </c>
      <c r="P36" s="125">
        <f>+O36/O33</f>
        <v>1.2999999999999999E-2</v>
      </c>
      <c r="Q36" s="255"/>
      <c r="R36" s="255"/>
      <c r="S36" s="205">
        <f>+S33*0.013</f>
        <v>8482.4182199884526</v>
      </c>
      <c r="T36" s="125">
        <f>+S36/S33</f>
        <v>1.3000000000000001E-2</v>
      </c>
      <c r="U36" s="255"/>
      <c r="V36" s="255"/>
      <c r="W36" s="205">
        <f>+W33*0.013</f>
        <v>9099.7703466251642</v>
      </c>
      <c r="X36" s="125">
        <f>+W36/W33</f>
        <v>1.2999999999999999E-2</v>
      </c>
      <c r="Y36" s="255"/>
      <c r="Z36" s="255"/>
      <c r="AA36" s="205">
        <f>+AA33*0.013</f>
        <v>9814.0380347433111</v>
      </c>
      <c r="AB36" s="125">
        <f>+AA36/AA33</f>
        <v>1.2999999999999999E-2</v>
      </c>
      <c r="AC36" s="255"/>
      <c r="AD36" s="255"/>
      <c r="AE36" s="205">
        <f>+AE33*0.013</f>
        <v>10649.986760019572</v>
      </c>
      <c r="AF36" s="260">
        <f>+AE36/AE33</f>
        <v>1.2999999999999999E-2</v>
      </c>
      <c r="AG36" s="63"/>
    </row>
    <row r="37" spans="3:33" ht="15.75" x14ac:dyDescent="0.25">
      <c r="C37" s="257" t="s">
        <v>43</v>
      </c>
      <c r="D37" s="258"/>
      <c r="E37" s="252"/>
      <c r="F37" s="77"/>
      <c r="G37" s="205">
        <f>+' Niagara Falls Blvd 22 '!$L$29+' Niagara Falls Blvd 22 '!$L$30-' Niagara Falls Blvd 22 '!$L$16-' Niagara Falls Blvd 22 '!$L$18</f>
        <v>16800</v>
      </c>
      <c r="H37" s="125">
        <f>+G37/G33</f>
        <v>3.0987681588116031E-2</v>
      </c>
      <c r="I37" s="255"/>
      <c r="J37" s="255"/>
      <c r="K37" s="205">
        <f>+' Niagara Falls Blvd 22 '!$L$29+' Niagara Falls Blvd 22 '!$L$30-' Niagara Falls Blvd 22 '!$L$16-' Niagara Falls Blvd 22 '!$L$18</f>
        <v>16800</v>
      </c>
      <c r="L37" s="125">
        <f>+K37/K33</f>
        <v>2.9240912614716025E-2</v>
      </c>
      <c r="M37" s="255"/>
      <c r="N37" s="255"/>
      <c r="O37" s="205">
        <f>+' Niagara Falls Blvd 22 '!$L$29+' Niagara Falls Blvd 22 '!$L$30-' Niagara Falls Blvd 22 '!$L$16-' Niagara Falls Blvd 22 '!$L$18</f>
        <v>16800</v>
      </c>
      <c r="P37" s="125">
        <f>+O37/O33</f>
        <v>2.7494143641316023E-2</v>
      </c>
      <c r="Q37" s="255"/>
      <c r="R37" s="255"/>
      <c r="S37" s="205">
        <f>+' Niagara Falls Blvd 22 '!$L$29+' Niagara Falls Blvd 22 '!$L$30-' Niagara Falls Blvd 22 '!$L$16-' Niagara Falls Blvd 22 '!$L$18</f>
        <v>16800</v>
      </c>
      <c r="T37" s="125">
        <f>+S37/S33</f>
        <v>2.5747374667916025E-2</v>
      </c>
      <c r="U37" s="255"/>
      <c r="V37" s="255"/>
      <c r="W37" s="205">
        <f>+' Niagara Falls Blvd 22 '!$L$29+' Niagara Falls Blvd 22 '!$L$30-' Niagara Falls Blvd 22 '!$L$16-' Niagara Falls Blvd 22 '!$L$18</f>
        <v>16800</v>
      </c>
      <c r="X37" s="125">
        <f>+W37/W33</f>
        <v>2.4000605694516026E-2</v>
      </c>
      <c r="Y37" s="255"/>
      <c r="Z37" s="255"/>
      <c r="AA37" s="205">
        <f>+' Niagara Falls Blvd 22 '!$L$29+' Niagara Falls Blvd 22 '!$L$30-' Niagara Falls Blvd 22 '!$L$16-' Niagara Falls Blvd 22 '!$L$18</f>
        <v>16800</v>
      </c>
      <c r="AB37" s="125">
        <f>+AA37/AA33</f>
        <v>2.225383672111602E-2</v>
      </c>
      <c r="AC37" s="255"/>
      <c r="AD37" s="255"/>
      <c r="AE37" s="205">
        <f>+' Niagara Falls Blvd 22 '!$L$29+' Niagara Falls Blvd 22 '!$L$30-' Niagara Falls Blvd 22 '!$L$16-' Niagara Falls Blvd 22 '!$L$18</f>
        <v>16800</v>
      </c>
      <c r="AF37" s="260">
        <f>+AE37/AE33</f>
        <v>2.0507067747716018E-2</v>
      </c>
      <c r="AG37" s="63"/>
    </row>
    <row r="38" spans="3:33" ht="15.75" x14ac:dyDescent="0.25">
      <c r="C38" s="257"/>
      <c r="D38" s="258"/>
      <c r="E38" s="252"/>
      <c r="F38" s="77"/>
      <c r="G38" s="205" t="s">
        <v>46</v>
      </c>
      <c r="H38" s="125"/>
      <c r="I38" s="255"/>
      <c r="J38" s="255"/>
      <c r="K38" s="205" t="s">
        <v>46</v>
      </c>
      <c r="L38" s="125"/>
      <c r="M38" s="255"/>
      <c r="N38" s="255"/>
      <c r="O38" s="205" t="s">
        <v>46</v>
      </c>
      <c r="P38" s="125"/>
      <c r="Q38" s="255"/>
      <c r="R38" s="255"/>
      <c r="S38" s="205" t="s">
        <v>46</v>
      </c>
      <c r="T38" s="125"/>
      <c r="U38" s="255"/>
      <c r="V38" s="255"/>
      <c r="W38" s="205" t="s">
        <v>46</v>
      </c>
      <c r="X38" s="125"/>
      <c r="Y38" s="255"/>
      <c r="Z38" s="255"/>
      <c r="AA38" s="205" t="s">
        <v>46</v>
      </c>
      <c r="AB38" s="125"/>
      <c r="AC38" s="255"/>
      <c r="AD38" s="255"/>
      <c r="AE38" s="205" t="s">
        <v>46</v>
      </c>
      <c r="AF38" s="260"/>
      <c r="AG38" s="63"/>
    </row>
    <row r="39" spans="3:33" ht="15.75" x14ac:dyDescent="0.25">
      <c r="C39" s="257" t="s">
        <v>41</v>
      </c>
      <c r="D39" s="258"/>
      <c r="E39" s="252"/>
      <c r="F39" s="77"/>
      <c r="G39" s="204">
        <f>+G33-G37-G36</f>
        <v>518302.95543888467</v>
      </c>
      <c r="H39" s="73">
        <f>+G39/G33</f>
        <v>0.95601231841188394</v>
      </c>
      <c r="I39" s="255"/>
      <c r="J39" s="255"/>
      <c r="K39" s="204">
        <f>+K33-K37-K36</f>
        <v>550268.48443762341</v>
      </c>
      <c r="L39" s="73">
        <f>+K39/K33</f>
        <v>0.95775908738528404</v>
      </c>
      <c r="M39" s="255"/>
      <c r="N39" s="255"/>
      <c r="O39" s="204">
        <f>+O33-O37-O36</f>
        <v>586295.70708296157</v>
      </c>
      <c r="P39" s="73">
        <f>+O39/O33</f>
        <v>0.95950585635868391</v>
      </c>
      <c r="Q39" s="255"/>
      <c r="R39" s="255"/>
      <c r="S39" s="204">
        <f>+S33-S37-S36</f>
        <v>627211.29100989248</v>
      </c>
      <c r="T39" s="73">
        <f>+S39/S33</f>
        <v>0.961252625332084</v>
      </c>
      <c r="U39" s="255"/>
      <c r="V39" s="255"/>
      <c r="W39" s="204">
        <f>+W33-W37-W36</f>
        <v>674082.56400915678</v>
      </c>
      <c r="X39" s="73">
        <f>+W39/W33</f>
        <v>0.96299939430548398</v>
      </c>
      <c r="Y39" s="255"/>
      <c r="Z39" s="255"/>
      <c r="AA39" s="204">
        <f>+AA33-AA37-AA36</f>
        <v>728311.9646378191</v>
      </c>
      <c r="AB39" s="73">
        <f>+AA39/AA33</f>
        <v>0.96474616327888407</v>
      </c>
      <c r="AC39" s="255"/>
      <c r="AD39" s="255"/>
      <c r="AE39" s="204">
        <f>+AE33-AE37-AE36</f>
        <v>791779.76401071681</v>
      </c>
      <c r="AF39" s="259">
        <f>+AE39/AE33</f>
        <v>0.96649293225228405</v>
      </c>
      <c r="AG39" s="63"/>
    </row>
    <row r="40" spans="3:33" ht="15.75" x14ac:dyDescent="0.25">
      <c r="C40" s="257"/>
      <c r="D40" s="258"/>
      <c r="E40" s="252"/>
      <c r="F40" s="77"/>
      <c r="G40" s="205"/>
      <c r="H40" s="125"/>
      <c r="I40" s="255"/>
      <c r="J40" s="255"/>
      <c r="K40" s="205"/>
      <c r="L40" s="125"/>
      <c r="M40" s="255"/>
      <c r="N40" s="255"/>
      <c r="O40" s="205"/>
      <c r="P40" s="125"/>
      <c r="Q40" s="255"/>
      <c r="R40" s="255"/>
      <c r="S40" s="205"/>
      <c r="T40" s="125"/>
      <c r="U40" s="255"/>
      <c r="V40" s="255"/>
      <c r="W40" s="205"/>
      <c r="X40" s="125"/>
      <c r="Y40" s="255"/>
      <c r="Z40" s="255"/>
      <c r="AA40" s="205"/>
      <c r="AB40" s="125"/>
      <c r="AC40" s="255"/>
      <c r="AD40" s="255"/>
      <c r="AE40" s="205"/>
      <c r="AF40" s="260"/>
      <c r="AG40" s="63"/>
    </row>
    <row r="41" spans="3:33" ht="15.75" x14ac:dyDescent="0.25">
      <c r="C41" s="257" t="s">
        <v>6</v>
      </c>
      <c r="D41" s="255"/>
      <c r="E41" s="252"/>
      <c r="F41" s="77"/>
      <c r="G41" s="205"/>
      <c r="H41" s="125"/>
      <c r="I41" s="255"/>
      <c r="J41" s="255"/>
      <c r="K41" s="205"/>
      <c r="L41" s="125"/>
      <c r="M41" s="255"/>
      <c r="N41" s="255"/>
      <c r="O41" s="205"/>
      <c r="P41" s="125"/>
      <c r="Q41" s="255"/>
      <c r="R41" s="255"/>
      <c r="S41" s="205"/>
      <c r="T41" s="125"/>
      <c r="U41" s="255"/>
      <c r="V41" s="255"/>
      <c r="W41" s="205"/>
      <c r="X41" s="125"/>
      <c r="Y41" s="255"/>
      <c r="Z41" s="255"/>
      <c r="AA41" s="205"/>
      <c r="AB41" s="125"/>
      <c r="AC41" s="255"/>
      <c r="AD41" s="255"/>
      <c r="AE41" s="205"/>
      <c r="AF41" s="260"/>
      <c r="AG41" s="63"/>
    </row>
    <row r="42" spans="3:33" ht="15.75" x14ac:dyDescent="0.25">
      <c r="C42" s="261" t="s">
        <v>7</v>
      </c>
      <c r="D42" s="255"/>
      <c r="E42" s="252"/>
      <c r="F42" s="77"/>
      <c r="G42" s="205">
        <f>+' Niagara Falls Blvd 22 '!$L$35</f>
        <v>2600</v>
      </c>
      <c r="H42" s="262">
        <f>+G42/G33</f>
        <v>4.7957126267322431E-3</v>
      </c>
      <c r="I42" s="263" t="s">
        <v>46</v>
      </c>
      <c r="J42" s="255"/>
      <c r="K42" s="205">
        <f>+' Niagara Falls Blvd 22 '!$L$35</f>
        <v>2600</v>
      </c>
      <c r="L42" s="262">
        <f>+K42/K33</f>
        <v>4.5253793332298608E-3</v>
      </c>
      <c r="M42" s="263" t="s">
        <v>46</v>
      </c>
      <c r="N42" s="255"/>
      <c r="O42" s="205">
        <f>+' Niagara Falls Blvd 22 '!$L$35</f>
        <v>2600</v>
      </c>
      <c r="P42" s="262">
        <f>+O42/O33</f>
        <v>4.2550460397274802E-3</v>
      </c>
      <c r="Q42" s="263" t="s">
        <v>46</v>
      </c>
      <c r="R42" s="255"/>
      <c r="S42" s="205">
        <f>+' Niagara Falls Blvd 22 '!$L$35</f>
        <v>2600</v>
      </c>
      <c r="T42" s="262">
        <f>+S42/S33</f>
        <v>3.9847127462250987E-3</v>
      </c>
      <c r="U42" s="263" t="s">
        <v>46</v>
      </c>
      <c r="V42" s="255"/>
      <c r="W42" s="205">
        <f>+' Niagara Falls Blvd 22 '!$L$35</f>
        <v>2600</v>
      </c>
      <c r="X42" s="262">
        <f>+W42/W33</f>
        <v>3.7143794527227181E-3</v>
      </c>
      <c r="Y42" s="263" t="s">
        <v>46</v>
      </c>
      <c r="Z42" s="255"/>
      <c r="AA42" s="205">
        <f>+' Niagara Falls Blvd 22 '!$L$35</f>
        <v>2600</v>
      </c>
      <c r="AB42" s="262">
        <f>+AA42/AA33</f>
        <v>3.4440461592203367E-3</v>
      </c>
      <c r="AC42" s="263" t="s">
        <v>46</v>
      </c>
      <c r="AD42" s="255"/>
      <c r="AE42" s="205">
        <f>+' Niagara Falls Blvd 22 '!$L$35</f>
        <v>2600</v>
      </c>
      <c r="AF42" s="264">
        <f>+AE42/AE33</f>
        <v>3.1737128657179552E-3</v>
      </c>
      <c r="AG42" s="93" t="s">
        <v>46</v>
      </c>
    </row>
    <row r="43" spans="3:33" ht="15.75" x14ac:dyDescent="0.25">
      <c r="C43" s="261"/>
      <c r="D43" s="255"/>
      <c r="E43" s="252"/>
      <c r="F43" s="77"/>
      <c r="G43" s="205"/>
      <c r="H43" s="125"/>
      <c r="I43" s="255"/>
      <c r="J43" s="255"/>
      <c r="K43" s="205"/>
      <c r="L43" s="125"/>
      <c r="M43" s="255"/>
      <c r="N43" s="255"/>
      <c r="O43" s="205"/>
      <c r="P43" s="125"/>
      <c r="Q43" s="255"/>
      <c r="R43" s="255"/>
      <c r="S43" s="205"/>
      <c r="T43" s="125"/>
      <c r="U43" s="255"/>
      <c r="V43" s="255"/>
      <c r="W43" s="205"/>
      <c r="X43" s="125"/>
      <c r="Y43" s="255"/>
      <c r="Z43" s="255"/>
      <c r="AA43" s="205"/>
      <c r="AB43" s="125"/>
      <c r="AC43" s="255"/>
      <c r="AD43" s="255"/>
      <c r="AE43" s="205"/>
      <c r="AF43" s="260"/>
      <c r="AG43" s="63"/>
    </row>
    <row r="44" spans="3:33" ht="15.75" x14ac:dyDescent="0.25">
      <c r="C44" s="261" t="s">
        <v>8</v>
      </c>
      <c r="D44" s="255"/>
      <c r="E44" s="252"/>
      <c r="F44" s="77"/>
      <c r="G44" s="205">
        <f>SUM(' Niagara Falls Blvd 22 '!$L$44:$L$53)</f>
        <v>222095.182</v>
      </c>
      <c r="H44" s="125">
        <f>G44/G33</f>
        <v>0.40965564178992137</v>
      </c>
      <c r="I44" s="255"/>
      <c r="J44" s="255"/>
      <c r="K44" s="205">
        <f>SUM(' Niagara Falls Blvd 22 '!$L$44:$L$53)</f>
        <v>222095.182</v>
      </c>
      <c r="L44" s="125">
        <f>K44/K33</f>
        <v>0.38656344101258638</v>
      </c>
      <c r="M44" s="255"/>
      <c r="N44" s="255"/>
      <c r="O44" s="205">
        <f>SUM(' Niagara Falls Blvd 22 '!$L$44:$L$53)</f>
        <v>222095.182</v>
      </c>
      <c r="P44" s="125">
        <f>O44/O33</f>
        <v>0.36347124023525151</v>
      </c>
      <c r="Q44" s="255"/>
      <c r="R44" s="255"/>
      <c r="S44" s="205">
        <f>SUM(' Niagara Falls Blvd 22 '!$L$44:$L$53)</f>
        <v>222095.182</v>
      </c>
      <c r="T44" s="125">
        <f>S44/S33</f>
        <v>0.34037903945791659</v>
      </c>
      <c r="U44" s="255"/>
      <c r="V44" s="255"/>
      <c r="W44" s="205">
        <f>SUM(' Niagara Falls Blvd 22 '!$L$44:$L$53)</f>
        <v>222095.182</v>
      </c>
      <c r="X44" s="125">
        <f>W44/W33</f>
        <v>0.31728683868058172</v>
      </c>
      <c r="Y44" s="255"/>
      <c r="Z44" s="255"/>
      <c r="AA44" s="205">
        <f>SUM(' Niagara Falls Blvd 22 '!$L$44:$L$53)</f>
        <v>222095.182</v>
      </c>
      <c r="AB44" s="125">
        <f>AA44/AA33</f>
        <v>0.29419463790324679</v>
      </c>
      <c r="AC44" s="255"/>
      <c r="AD44" s="255"/>
      <c r="AE44" s="205">
        <f>SUM(' Niagara Falls Blvd 22 '!$L$44:$L$53)</f>
        <v>222095.182</v>
      </c>
      <c r="AF44" s="260">
        <f>AE44/AE33</f>
        <v>0.27110243712591187</v>
      </c>
      <c r="AG44" s="63"/>
    </row>
    <row r="45" spans="3:33" ht="15.75" x14ac:dyDescent="0.25">
      <c r="C45" s="261"/>
      <c r="D45" s="255"/>
      <c r="E45" s="252"/>
      <c r="F45" s="77"/>
      <c r="G45" s="205"/>
      <c r="H45" s="125"/>
      <c r="I45" s="255"/>
      <c r="J45" s="255"/>
      <c r="K45" s="205"/>
      <c r="L45" s="125"/>
      <c r="M45" s="255"/>
      <c r="N45" s="255"/>
      <c r="O45" s="205"/>
      <c r="P45" s="125"/>
      <c r="Q45" s="255"/>
      <c r="R45" s="255"/>
      <c r="S45" s="205"/>
      <c r="T45" s="125"/>
      <c r="U45" s="255"/>
      <c r="V45" s="255"/>
      <c r="W45" s="205"/>
      <c r="X45" s="125"/>
      <c r="Y45" s="255"/>
      <c r="Z45" s="255"/>
      <c r="AA45" s="205"/>
      <c r="AB45" s="125"/>
      <c r="AC45" s="255"/>
      <c r="AD45" s="255"/>
      <c r="AE45" s="205"/>
      <c r="AF45" s="260"/>
      <c r="AG45" s="63"/>
    </row>
    <row r="46" spans="3:33" ht="15.75" x14ac:dyDescent="0.25">
      <c r="C46" s="261" t="s">
        <v>9</v>
      </c>
      <c r="D46" s="255"/>
      <c r="E46" s="252"/>
      <c r="F46" s="77"/>
      <c r="G46" s="205">
        <f>SUM(' Niagara Falls Blvd 22 '!$L$54:$L$62)</f>
        <v>225170.18200242225</v>
      </c>
      <c r="H46" s="125">
        <f>G46/G33</f>
        <v>0.41532749422792831</v>
      </c>
      <c r="I46" s="255"/>
      <c r="J46" s="255"/>
      <c r="K46" s="205">
        <f>SUM(' Niagara Falls Blvd 22 '!$L$54:$L$62)</f>
        <v>225170.18200242225</v>
      </c>
      <c r="L46" s="125">
        <f>K46/K33</f>
        <v>0.39191557234360314</v>
      </c>
      <c r="M46" s="255"/>
      <c r="N46" s="255"/>
      <c r="O46" s="205">
        <f>SUM(' Niagara Falls Blvd 22 '!$L$54:$L$62)</f>
        <v>225170.18200242225</v>
      </c>
      <c r="P46" s="125">
        <f>O46/O33</f>
        <v>0.36850365045927796</v>
      </c>
      <c r="Q46" s="255"/>
      <c r="R46" s="255"/>
      <c r="S46" s="205">
        <f>SUM(' Niagara Falls Blvd 22 '!$L$54:$L$62)</f>
        <v>225170.18200242225</v>
      </c>
      <c r="T46" s="125">
        <f>S46/S33</f>
        <v>0.34509172857495279</v>
      </c>
      <c r="U46" s="255"/>
      <c r="V46" s="255"/>
      <c r="W46" s="205">
        <f>SUM(' Niagara Falls Blvd 22 '!$L$54:$L$62)</f>
        <v>225170.18200242225</v>
      </c>
      <c r="X46" s="125">
        <f>W46/W33</f>
        <v>0.32167980669062773</v>
      </c>
      <c r="Y46" s="255"/>
      <c r="Z46" s="255"/>
      <c r="AA46" s="205">
        <f>SUM(' Niagara Falls Blvd 22 '!$L$54:$L$62)</f>
        <v>225170.18200242225</v>
      </c>
      <c r="AB46" s="125">
        <f>AA46/AA33</f>
        <v>0.29826788480630251</v>
      </c>
      <c r="AC46" s="255"/>
      <c r="AD46" s="255"/>
      <c r="AE46" s="205">
        <f>SUM(' Niagara Falls Blvd 22 '!$L$54:$L$62)</f>
        <v>225170.18200242225</v>
      </c>
      <c r="AF46" s="260">
        <f>AE46/AE33</f>
        <v>0.27485596292197734</v>
      </c>
      <c r="AG46" s="63"/>
    </row>
    <row r="47" spans="3:33" ht="15.75" x14ac:dyDescent="0.25">
      <c r="C47" s="261"/>
      <c r="D47" s="255"/>
      <c r="E47" s="252"/>
      <c r="F47" s="77"/>
      <c r="G47" s="205"/>
      <c r="H47" s="125"/>
      <c r="I47" s="255"/>
      <c r="J47" s="255"/>
      <c r="K47" s="205"/>
      <c r="L47" s="125"/>
      <c r="M47" s="255"/>
      <c r="N47" s="255"/>
      <c r="O47" s="205"/>
      <c r="P47" s="125"/>
      <c r="Q47" s="255"/>
      <c r="R47" s="255"/>
      <c r="S47" s="205"/>
      <c r="T47" s="125"/>
      <c r="U47" s="255"/>
      <c r="V47" s="255"/>
      <c r="W47" s="205"/>
      <c r="X47" s="125"/>
      <c r="Y47" s="255"/>
      <c r="Z47" s="255"/>
      <c r="AA47" s="205"/>
      <c r="AB47" s="125"/>
      <c r="AC47" s="255"/>
      <c r="AD47" s="255"/>
      <c r="AE47" s="205"/>
      <c r="AF47" s="260"/>
      <c r="AG47" s="63"/>
    </row>
    <row r="48" spans="3:33" ht="15.75" x14ac:dyDescent="0.25">
      <c r="C48" s="261" t="s">
        <v>10</v>
      </c>
      <c r="D48" s="255"/>
      <c r="E48" s="252"/>
      <c r="F48" s="77"/>
      <c r="G48" s="208">
        <f>SUM(' Niagara Falls Blvd 22 '!$L$63:$L$77)</f>
        <v>14222.4997</v>
      </c>
      <c r="H48" s="79">
        <f>+G48/G33</f>
        <v>2.623346976730213E-2</v>
      </c>
      <c r="I48" s="255"/>
      <c r="J48" s="255"/>
      <c r="K48" s="208">
        <f>SUM(' Niagara Falls Blvd 22 '!$L$63:$L$77)</f>
        <v>14222.4997</v>
      </c>
      <c r="L48" s="79">
        <f>+K48/K33</f>
        <v>2.4754694695864578E-2</v>
      </c>
      <c r="M48" s="255"/>
      <c r="N48" s="255"/>
      <c r="O48" s="208">
        <f>SUM(' Niagara Falls Blvd 22 '!$L$63:$L$77)</f>
        <v>14222.4997</v>
      </c>
      <c r="P48" s="79">
        <f>+O48/O33</f>
        <v>2.3275919624427027E-2</v>
      </c>
      <c r="Q48" s="255"/>
      <c r="R48" s="255"/>
      <c r="S48" s="208">
        <f>SUM(' Niagara Falls Blvd 22 '!$L$63:$L$77)</f>
        <v>14222.4997</v>
      </c>
      <c r="T48" s="79">
        <f>+S48/S33</f>
        <v>2.1797144552989478E-2</v>
      </c>
      <c r="U48" s="255"/>
      <c r="V48" s="255"/>
      <c r="W48" s="208">
        <f>SUM(' Niagara Falls Blvd 22 '!$L$63:$L$77)</f>
        <v>14222.4997</v>
      </c>
      <c r="X48" s="79">
        <f>+W48/W33</f>
        <v>2.0318369481551933E-2</v>
      </c>
      <c r="Y48" s="255"/>
      <c r="Z48" s="255"/>
      <c r="AA48" s="208">
        <f>SUM(' Niagara Falls Blvd 22 '!$L$63:$L$77)</f>
        <v>14222.4997</v>
      </c>
      <c r="AB48" s="79">
        <f>+AA48/AA33</f>
        <v>1.8839594410114381E-2</v>
      </c>
      <c r="AC48" s="255"/>
      <c r="AD48" s="255"/>
      <c r="AE48" s="208">
        <f>SUM(' Niagara Falls Blvd 22 '!$L$63:$L$77)</f>
        <v>14222.4997</v>
      </c>
      <c r="AF48" s="265">
        <f>+AE48/AE33</f>
        <v>1.7360819338676829E-2</v>
      </c>
      <c r="AG48" s="63"/>
    </row>
    <row r="49" spans="3:34" ht="15.75" x14ac:dyDescent="0.25">
      <c r="C49" s="257"/>
      <c r="D49" s="255"/>
      <c r="E49" s="252"/>
      <c r="F49" s="77"/>
      <c r="G49" s="205"/>
      <c r="H49" s="125"/>
      <c r="I49" s="255"/>
      <c r="J49" s="255"/>
      <c r="K49" s="205"/>
      <c r="L49" s="125"/>
      <c r="M49" s="255"/>
      <c r="N49" s="255"/>
      <c r="O49" s="205"/>
      <c r="P49" s="125"/>
      <c r="Q49" s="255"/>
      <c r="R49" s="255"/>
      <c r="S49" s="205"/>
      <c r="T49" s="125"/>
      <c r="U49" s="255"/>
      <c r="V49" s="255"/>
      <c r="W49" s="205"/>
      <c r="X49" s="125"/>
      <c r="Y49" s="255"/>
      <c r="Z49" s="255"/>
      <c r="AA49" s="205"/>
      <c r="AB49" s="125"/>
      <c r="AC49" s="255"/>
      <c r="AD49" s="255"/>
      <c r="AE49" s="205"/>
      <c r="AF49" s="260"/>
      <c r="AG49" s="63"/>
    </row>
    <row r="50" spans="3:34" ht="16.5" thickBot="1" x14ac:dyDescent="0.3">
      <c r="C50" s="257" t="s">
        <v>11</v>
      </c>
      <c r="D50" s="255"/>
      <c r="E50" s="252"/>
      <c r="F50" s="77"/>
      <c r="G50" s="209">
        <f>G42+G44+G46+G48</f>
        <v>464087.86370242224</v>
      </c>
      <c r="H50" s="80">
        <f>G50/G33</f>
        <v>0.85601231841188408</v>
      </c>
      <c r="I50" s="255"/>
      <c r="J50" s="255"/>
      <c r="K50" s="209">
        <f>K42+K44+K46+K48</f>
        <v>464087.86370242224</v>
      </c>
      <c r="L50" s="80">
        <f>K50/K33</f>
        <v>0.8077590873852839</v>
      </c>
      <c r="M50" s="255"/>
      <c r="N50" s="255"/>
      <c r="O50" s="209">
        <f>O42+O44+O46+O48</f>
        <v>464087.86370242224</v>
      </c>
      <c r="P50" s="80">
        <f>O50/O33</f>
        <v>0.75950585635868395</v>
      </c>
      <c r="Q50" s="255"/>
      <c r="R50" s="255"/>
      <c r="S50" s="209">
        <f>S42+S44+S46+S48</f>
        <v>464087.86370242224</v>
      </c>
      <c r="T50" s="80">
        <f>S50/S33</f>
        <v>0.711252625332084</v>
      </c>
      <c r="U50" s="255"/>
      <c r="V50" s="255"/>
      <c r="W50" s="209">
        <f>W42+W44+W46+W48</f>
        <v>464087.86370242224</v>
      </c>
      <c r="X50" s="80">
        <f>W50/W33</f>
        <v>0.66299939430548405</v>
      </c>
      <c r="Y50" s="255"/>
      <c r="Z50" s="255"/>
      <c r="AA50" s="209">
        <f>AA42+AA44+AA46+AA48</f>
        <v>464087.86370242224</v>
      </c>
      <c r="AB50" s="80">
        <f>AA50/AA33</f>
        <v>0.61474616327888398</v>
      </c>
      <c r="AC50" s="255"/>
      <c r="AD50" s="255"/>
      <c r="AE50" s="209">
        <f>AE42+AE44+AE46+AE48</f>
        <v>464087.86370242224</v>
      </c>
      <c r="AF50" s="266">
        <f>AE50/AE33</f>
        <v>0.56649293225228392</v>
      </c>
      <c r="AG50" s="63"/>
    </row>
    <row r="51" spans="3:34" ht="16.5" thickTop="1" x14ac:dyDescent="0.25">
      <c r="C51" s="257"/>
      <c r="D51" s="258"/>
      <c r="E51" s="252"/>
      <c r="F51" s="77"/>
      <c r="G51" s="124"/>
      <c r="H51" s="125"/>
      <c r="I51" s="255"/>
      <c r="J51" s="255"/>
      <c r="K51" s="124"/>
      <c r="L51" s="125"/>
      <c r="M51" s="255"/>
      <c r="N51" s="255"/>
      <c r="O51" s="124"/>
      <c r="P51" s="125"/>
      <c r="Q51" s="255"/>
      <c r="R51" s="255"/>
      <c r="S51" s="124"/>
      <c r="T51" s="125"/>
      <c r="U51" s="255"/>
      <c r="V51" s="255"/>
      <c r="W51" s="124"/>
      <c r="X51" s="125"/>
      <c r="Y51" s="255"/>
      <c r="Z51" s="255"/>
      <c r="AA51" s="124"/>
      <c r="AB51" s="125"/>
      <c r="AC51" s="255"/>
      <c r="AD51" s="255"/>
      <c r="AE51" s="124"/>
      <c r="AF51" s="260"/>
      <c r="AG51" s="63"/>
    </row>
    <row r="52" spans="3:34" ht="15.75" x14ac:dyDescent="0.25">
      <c r="C52" s="257" t="s">
        <v>12</v>
      </c>
      <c r="D52" s="258"/>
      <c r="E52" s="252"/>
      <c r="F52" s="77"/>
      <c r="G52" s="205">
        <f>+G33*(H52)</f>
        <v>54215.091736462484</v>
      </c>
      <c r="H52" s="267">
        <f>+I52*1%</f>
        <v>0.1</v>
      </c>
      <c r="I52" s="255">
        <v>10</v>
      </c>
      <c r="J52" s="255"/>
      <c r="K52" s="205">
        <f>+K33*(L52)</f>
        <v>86180.620735201126</v>
      </c>
      <c r="L52" s="267">
        <f>+M52*1%</f>
        <v>0.15</v>
      </c>
      <c r="M52" s="255">
        <v>15</v>
      </c>
      <c r="N52" s="255"/>
      <c r="O52" s="205">
        <f>+O33*(P52)</f>
        <v>122207.84338053933</v>
      </c>
      <c r="P52" s="267">
        <f>+Q52*1%</f>
        <v>0.2</v>
      </c>
      <c r="Q52" s="255">
        <v>20</v>
      </c>
      <c r="R52" s="255"/>
      <c r="S52" s="205">
        <f>+S33*(T52)</f>
        <v>163123.42730747024</v>
      </c>
      <c r="T52" s="267">
        <f>+U52*1%</f>
        <v>0.25</v>
      </c>
      <c r="U52" s="255">
        <v>25</v>
      </c>
      <c r="V52" s="255"/>
      <c r="W52" s="205">
        <f>+W33*(X52)</f>
        <v>209994.70030673456</v>
      </c>
      <c r="X52" s="267">
        <f>+Y52*1%</f>
        <v>0.3</v>
      </c>
      <c r="Y52" s="255">
        <v>30</v>
      </c>
      <c r="Z52" s="255"/>
      <c r="AA52" s="205">
        <f>+AA33*(AB52)</f>
        <v>264224.10093539685</v>
      </c>
      <c r="AB52" s="267">
        <f>+AC52*1%</f>
        <v>0.35000000000000003</v>
      </c>
      <c r="AC52" s="255">
        <v>35</v>
      </c>
      <c r="AD52" s="255"/>
      <c r="AE52" s="205">
        <f>+AE33*(AF52)</f>
        <v>327691.90030829457</v>
      </c>
      <c r="AF52" s="268">
        <f>+AG52*1%</f>
        <v>0.4</v>
      </c>
      <c r="AG52" s="63">
        <v>40</v>
      </c>
    </row>
    <row r="53" spans="3:34" ht="15.75" x14ac:dyDescent="0.25">
      <c r="C53" s="269"/>
      <c r="D53" s="270"/>
      <c r="E53" s="252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71"/>
      <c r="AG53" s="63"/>
    </row>
    <row r="54" spans="3:34" ht="15.75" x14ac:dyDescent="0.25">
      <c r="C54" s="269" t="s">
        <v>13</v>
      </c>
      <c r="D54" s="270"/>
      <c r="E54" s="252"/>
      <c r="F54" s="272"/>
      <c r="G54" s="273">
        <v>15000</v>
      </c>
      <c r="H54" s="255"/>
      <c r="I54" s="255"/>
      <c r="J54" s="255"/>
      <c r="K54" s="273">
        <v>15000</v>
      </c>
      <c r="L54" s="255"/>
      <c r="M54" s="255"/>
      <c r="N54" s="255"/>
      <c r="O54" s="273">
        <v>15000</v>
      </c>
      <c r="P54" s="255"/>
      <c r="Q54" s="255"/>
      <c r="R54" s="255"/>
      <c r="S54" s="273">
        <v>15000</v>
      </c>
      <c r="T54" s="255"/>
      <c r="U54" s="255"/>
      <c r="V54" s="255"/>
      <c r="W54" s="273">
        <v>15000</v>
      </c>
      <c r="X54" s="255"/>
      <c r="Y54" s="255"/>
      <c r="Z54" s="255"/>
      <c r="AA54" s="273">
        <v>15000</v>
      </c>
      <c r="AB54" s="255"/>
      <c r="AC54" s="255"/>
      <c r="AD54" s="255"/>
      <c r="AE54" s="273">
        <v>15000</v>
      </c>
      <c r="AF54" s="271"/>
      <c r="AG54" s="63"/>
    </row>
    <row r="55" spans="3:34" ht="15.75" x14ac:dyDescent="0.25">
      <c r="C55" s="269"/>
      <c r="D55" s="270"/>
      <c r="E55" s="252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71"/>
      <c r="AG55" s="63"/>
    </row>
    <row r="56" spans="3:34" ht="15.75" x14ac:dyDescent="0.25">
      <c r="C56" s="269" t="s">
        <v>33</v>
      </c>
      <c r="D56" s="270"/>
      <c r="E56" s="252"/>
      <c r="F56" s="215"/>
      <c r="G56" s="274">
        <f>+G33/G54</f>
        <v>36.143394490974984</v>
      </c>
      <c r="H56" s="275"/>
      <c r="I56" s="275"/>
      <c r="J56" s="275"/>
      <c r="K56" s="274">
        <f>+K33/K54</f>
        <v>38.302498104533832</v>
      </c>
      <c r="L56" s="275"/>
      <c r="M56" s="275"/>
      <c r="N56" s="275"/>
      <c r="O56" s="274">
        <f>+O33/O54</f>
        <v>40.735947793513112</v>
      </c>
      <c r="P56" s="275"/>
      <c r="Q56" s="275"/>
      <c r="R56" s="275"/>
      <c r="S56" s="274">
        <f>+S33/S54</f>
        <v>43.499580615325399</v>
      </c>
      <c r="T56" s="275"/>
      <c r="U56" s="275"/>
      <c r="V56" s="275"/>
      <c r="W56" s="274">
        <f>+W33/W54</f>
        <v>46.665488957052126</v>
      </c>
      <c r="X56" s="275"/>
      <c r="Y56" s="275"/>
      <c r="Z56" s="275"/>
      <c r="AA56" s="274">
        <f>+AA33/AA54</f>
        <v>50.328400178170824</v>
      </c>
      <c r="AB56" s="275"/>
      <c r="AC56" s="275"/>
      <c r="AD56" s="275"/>
      <c r="AE56" s="274">
        <f>+AE33/AE54</f>
        <v>54.615316718049094</v>
      </c>
      <c r="AF56" s="271"/>
      <c r="AG56" s="63"/>
    </row>
    <row r="57" spans="3:34" ht="15.75" x14ac:dyDescent="0.25">
      <c r="C57" s="269"/>
      <c r="D57" s="270"/>
      <c r="E57" s="252"/>
      <c r="F57" s="272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71"/>
      <c r="AG57" s="63"/>
    </row>
    <row r="58" spans="3:34" ht="15.75" x14ac:dyDescent="0.25">
      <c r="C58" s="276" t="s">
        <v>15</v>
      </c>
      <c r="D58" s="277"/>
      <c r="E58" s="252"/>
      <c r="F58" s="216"/>
      <c r="G58" s="124">
        <f>+G44/G54</f>
        <v>14.806345466666667</v>
      </c>
      <c r="H58" s="124"/>
      <c r="I58" s="124"/>
      <c r="J58" s="255"/>
      <c r="K58" s="124">
        <f>+K44/K54</f>
        <v>14.806345466666667</v>
      </c>
      <c r="L58" s="124"/>
      <c r="M58" s="124"/>
      <c r="N58" s="255"/>
      <c r="O58" s="124">
        <f>+O44/O54</f>
        <v>14.806345466666667</v>
      </c>
      <c r="P58" s="124"/>
      <c r="Q58" s="124"/>
      <c r="R58" s="255"/>
      <c r="S58" s="124">
        <f>+S44/S54</f>
        <v>14.806345466666667</v>
      </c>
      <c r="T58" s="124"/>
      <c r="U58" s="124"/>
      <c r="V58" s="255"/>
      <c r="W58" s="124">
        <f>+W44/W54</f>
        <v>14.806345466666667</v>
      </c>
      <c r="X58" s="124"/>
      <c r="Y58" s="124"/>
      <c r="Z58" s="255"/>
      <c r="AA58" s="124">
        <f>+AA44/AA54</f>
        <v>14.806345466666667</v>
      </c>
      <c r="AB58" s="124"/>
      <c r="AC58" s="124"/>
      <c r="AD58" s="255"/>
      <c r="AE58" s="124">
        <f>+AE44/AE54</f>
        <v>14.806345466666667</v>
      </c>
      <c r="AF58" s="278"/>
      <c r="AG58" s="75"/>
    </row>
    <row r="59" spans="3:34" ht="15.75" x14ac:dyDescent="0.25">
      <c r="C59" s="269"/>
      <c r="D59" s="270"/>
      <c r="E59" s="270"/>
      <c r="F59" s="270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71"/>
      <c r="AG59" s="63"/>
      <c r="AH59" s="63"/>
    </row>
    <row r="60" spans="3:34" ht="15.75" thickBot="1" x14ac:dyDescent="0.3">
      <c r="C60" s="279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1"/>
    </row>
  </sheetData>
  <mergeCells count="7">
    <mergeCell ref="AE31:AF31"/>
    <mergeCell ref="G31:H31"/>
    <mergeCell ref="K31:L31"/>
    <mergeCell ref="O31:P31"/>
    <mergeCell ref="S31:T31"/>
    <mergeCell ref="W31:X31"/>
    <mergeCell ref="AA31:AB31"/>
  </mergeCells>
  <pageMargins left="0.25" right="0.25" top="0.75" bottom="0.75" header="0.3" footer="0.3"/>
  <pageSetup scale="41" orientation="landscape" horizontalDpi="0" verticalDpi="0"/>
  <headerFooter>
    <oddFooter>&amp;R&amp;"Calibri,Regular"&amp;K000000&amp;F&amp;A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2:AF59"/>
  <sheetViews>
    <sheetView zoomScale="80" zoomScaleNormal="80" zoomScaleSheetLayoutView="9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J68" sqref="J68"/>
    </sheetView>
  </sheetViews>
  <sheetFormatPr defaultColWidth="9.140625" defaultRowHeight="15" x14ac:dyDescent="0.2"/>
  <cols>
    <col min="1" max="1" width="36.28515625" style="63" customWidth="1"/>
    <col min="2" max="2" width="5.85546875" style="63" hidden="1" customWidth="1"/>
    <col min="3" max="3" width="16.7109375" style="63" hidden="1" customWidth="1"/>
    <col min="4" max="4" width="4.28515625" style="63" hidden="1" customWidth="1"/>
    <col min="5" max="5" width="7.85546875" style="63" hidden="1" customWidth="1"/>
    <col min="6" max="6" width="17.42578125" style="63" customWidth="1"/>
    <col min="7" max="7" width="16.7109375" style="63" customWidth="1"/>
    <col min="8" max="8" width="5.85546875" style="63" customWidth="1"/>
    <col min="9" max="9" width="2.85546875" style="63" customWidth="1"/>
    <col min="10" max="11" width="16.85546875" style="63" customWidth="1"/>
    <col min="12" max="12" width="5.85546875" style="63" customWidth="1"/>
    <col min="13" max="13" width="2.85546875" style="63" customWidth="1"/>
    <col min="14" max="15" width="16.85546875" style="63" customWidth="1"/>
    <col min="16" max="16" width="5.85546875" style="63" customWidth="1"/>
    <col min="17" max="17" width="2.85546875" style="63" customWidth="1"/>
    <col min="18" max="19" width="16.85546875" style="63" customWidth="1"/>
    <col min="20" max="20" width="5.85546875" style="63" customWidth="1"/>
    <col min="21" max="21" width="2.85546875" style="63" customWidth="1"/>
    <col min="22" max="23" width="16.85546875" style="63" customWidth="1"/>
    <col min="24" max="24" width="5.85546875" style="63" customWidth="1"/>
    <col min="25" max="25" width="2.85546875" style="63" customWidth="1"/>
    <col min="26" max="27" width="15.85546875" style="63" customWidth="1"/>
    <col min="28" max="28" width="5.85546875" style="63" customWidth="1"/>
    <col min="29" max="29" width="2.85546875" style="63" customWidth="1"/>
    <col min="30" max="31" width="15.85546875" style="63" customWidth="1"/>
    <col min="32" max="32" width="5.85546875" style="63" customWidth="1"/>
    <col min="33" max="16384" width="9.140625" style="63"/>
  </cols>
  <sheetData>
    <row r="2" spans="1:32" ht="15.75" thickBot="1" x14ac:dyDescent="0.25"/>
    <row r="3" spans="1:32" ht="16.5" thickBot="1" x14ac:dyDescent="0.3">
      <c r="D3" s="221"/>
      <c r="E3"/>
      <c r="F3" s="219"/>
      <c r="G3" s="219"/>
      <c r="H3"/>
      <c r="J3" s="219"/>
      <c r="K3" s="219"/>
      <c r="L3"/>
      <c r="N3" s="219"/>
      <c r="O3" s="219"/>
      <c r="P3"/>
      <c r="R3" s="219"/>
      <c r="S3" s="219"/>
      <c r="T3"/>
      <c r="V3" s="219"/>
      <c r="W3" s="219"/>
      <c r="X3"/>
      <c r="Z3" s="219"/>
      <c r="AA3" s="219"/>
      <c r="AB3"/>
      <c r="AD3" s="219"/>
      <c r="AE3" s="219"/>
      <c r="AF3"/>
    </row>
    <row r="4" spans="1:32" s="291" customFormat="1" ht="20.25" x14ac:dyDescent="0.3">
      <c r="A4" s="287"/>
      <c r="B4" s="288"/>
      <c r="C4" s="289" t="s">
        <v>0</v>
      </c>
      <c r="D4" s="290"/>
      <c r="F4" s="317" t="s">
        <v>178</v>
      </c>
      <c r="G4" s="317"/>
      <c r="J4" s="317" t="s">
        <v>178</v>
      </c>
      <c r="K4" s="317"/>
      <c r="N4" s="317" t="s">
        <v>178</v>
      </c>
      <c r="O4" s="317"/>
      <c r="R4" s="317" t="s">
        <v>178</v>
      </c>
      <c r="S4" s="317"/>
      <c r="V4" s="317" t="s">
        <v>178</v>
      </c>
      <c r="W4" s="317"/>
      <c r="Z4" s="317" t="s">
        <v>178</v>
      </c>
      <c r="AA4" s="317"/>
      <c r="AD4" s="318" t="s">
        <v>35</v>
      </c>
      <c r="AE4" s="318"/>
    </row>
    <row r="5" spans="1:32" ht="15.75" x14ac:dyDescent="0.25">
      <c r="A5" s="67"/>
      <c r="B5" s="67"/>
      <c r="C5" s="68" t="s">
        <v>3</v>
      </c>
      <c r="D5" s="217"/>
      <c r="F5" s="69" t="s">
        <v>26</v>
      </c>
      <c r="G5" s="70" t="s">
        <v>3</v>
      </c>
      <c r="J5" s="69" t="s">
        <v>26</v>
      </c>
      <c r="K5" s="70" t="s">
        <v>3</v>
      </c>
      <c r="N5" s="69" t="s">
        <v>26</v>
      </c>
      <c r="O5" s="70" t="s">
        <v>3</v>
      </c>
      <c r="R5" s="69" t="s">
        <v>26</v>
      </c>
      <c r="S5" s="70" t="s">
        <v>3</v>
      </c>
      <c r="V5" s="69" t="s">
        <v>26</v>
      </c>
      <c r="W5" s="70" t="s">
        <v>3</v>
      </c>
      <c r="Z5" s="69" t="s">
        <v>26</v>
      </c>
      <c r="AA5" s="70" t="s">
        <v>3</v>
      </c>
      <c r="AD5" s="69" t="s">
        <v>26</v>
      </c>
      <c r="AE5" s="70" t="s">
        <v>3</v>
      </c>
    </row>
    <row r="6" spans="1:32" ht="15.75" x14ac:dyDescent="0.25">
      <c r="A6" s="65" t="s">
        <v>5</v>
      </c>
      <c r="B6" s="65"/>
      <c r="C6" s="71">
        <v>1</v>
      </c>
      <c r="D6" s="77"/>
      <c r="F6" s="204">
        <f>(((+F10+F23)/(1-(G25+0.013))))</f>
        <v>542150.91736462479</v>
      </c>
      <c r="G6" s="73">
        <f>F6/F6</f>
        <v>1</v>
      </c>
      <c r="J6" s="204">
        <f>(((+J10+J23)/(1-(K25+0.013))))</f>
        <v>574537.47156800749</v>
      </c>
      <c r="K6" s="73">
        <f>J6/J6</f>
        <v>1</v>
      </c>
      <c r="N6" s="204">
        <f>(((+N10+N23)/(1-(O25+0.013))))</f>
        <v>611039.21690269664</v>
      </c>
      <c r="O6" s="73">
        <f>N6/N6</f>
        <v>1</v>
      </c>
      <c r="R6" s="204">
        <f>(((+R10+R23)/(1-(S25+0.013))))</f>
        <v>652493.70922988094</v>
      </c>
      <c r="S6" s="73">
        <f>R6/R6</f>
        <v>1</v>
      </c>
      <c r="V6" s="204">
        <f>(((+V10+V23)/(1-(W25+0.013))))</f>
        <v>699982.3343557819</v>
      </c>
      <c r="W6" s="73">
        <f>V6/V6</f>
        <v>1</v>
      </c>
      <c r="Z6" s="204">
        <f>(((+Z10+Z23)/(1-(AA25+0.013))))</f>
        <v>754926.00267256238</v>
      </c>
      <c r="AA6" s="73">
        <f>Z6/Z6</f>
        <v>1</v>
      </c>
      <c r="AD6" s="204">
        <f>(((+AD10+AD23)/(1-(AE25+0.013))))</f>
        <v>819229.75077073637</v>
      </c>
      <c r="AE6" s="73">
        <f>AD6/AD6</f>
        <v>1</v>
      </c>
    </row>
    <row r="7" spans="1:32" ht="15.75" x14ac:dyDescent="0.25">
      <c r="A7" s="65"/>
      <c r="B7" s="65"/>
      <c r="C7" s="77"/>
      <c r="D7" s="77"/>
      <c r="F7" s="205"/>
      <c r="G7" s="125"/>
      <c r="J7" s="205"/>
      <c r="K7" s="125"/>
      <c r="N7" s="205"/>
      <c r="O7" s="125"/>
      <c r="R7" s="205"/>
      <c r="S7" s="125"/>
      <c r="V7" s="205"/>
      <c r="W7" s="125"/>
      <c r="Z7" s="205"/>
      <c r="AA7" s="125"/>
      <c r="AD7" s="205"/>
      <c r="AE7" s="125"/>
    </row>
    <row r="8" spans="1:32" ht="15.75" x14ac:dyDescent="0.25">
      <c r="A8" s="65"/>
      <c r="B8" s="65"/>
      <c r="C8" s="77"/>
      <c r="D8" s="77"/>
      <c r="F8" s="205"/>
      <c r="G8" s="125"/>
      <c r="J8" s="205"/>
      <c r="K8" s="125"/>
      <c r="N8" s="205"/>
      <c r="O8" s="125"/>
      <c r="R8" s="205"/>
      <c r="S8" s="125"/>
      <c r="V8" s="205"/>
      <c r="W8" s="125"/>
      <c r="Z8" s="205"/>
      <c r="AA8" s="125"/>
      <c r="AD8" s="205"/>
      <c r="AE8" s="125"/>
    </row>
    <row r="9" spans="1:32" ht="15.75" x14ac:dyDescent="0.25">
      <c r="A9" s="65" t="s">
        <v>155</v>
      </c>
      <c r="B9" s="65"/>
      <c r="C9" s="77"/>
      <c r="D9" s="77"/>
      <c r="F9" s="205">
        <f>+F6*0.013</f>
        <v>7047.9619257401218</v>
      </c>
      <c r="G9" s="125">
        <f>+F9/F6</f>
        <v>1.2999999999999999E-2</v>
      </c>
      <c r="J9" s="205">
        <f>+J6*0.013</f>
        <v>7468.9871303840973</v>
      </c>
      <c r="K9" s="125">
        <f>+J9/J6</f>
        <v>1.2999999999999999E-2</v>
      </c>
      <c r="N9" s="205">
        <f>+N6*0.013</f>
        <v>7943.5098197350562</v>
      </c>
      <c r="O9" s="125">
        <f>+N9/N6</f>
        <v>1.2999999999999999E-2</v>
      </c>
      <c r="R9" s="205">
        <f>+R6*0.013</f>
        <v>8482.4182199884526</v>
      </c>
      <c r="S9" s="125">
        <f>+R9/R6</f>
        <v>1.3000000000000001E-2</v>
      </c>
      <c r="V9" s="205">
        <f>+V6*0.013</f>
        <v>9099.7703466251642</v>
      </c>
      <c r="W9" s="125">
        <f>+V9/V6</f>
        <v>1.2999999999999999E-2</v>
      </c>
      <c r="Z9" s="205">
        <f>+Z6*0.013</f>
        <v>9814.0380347433111</v>
      </c>
      <c r="AA9" s="125">
        <f>+Z9/Z6</f>
        <v>1.2999999999999999E-2</v>
      </c>
      <c r="AD9" s="205">
        <f>+AD6*0.013</f>
        <v>10649.986760019572</v>
      </c>
      <c r="AE9" s="125">
        <f>+AD9/AD6</f>
        <v>1.2999999999999999E-2</v>
      </c>
    </row>
    <row r="10" spans="1:32" ht="15.75" x14ac:dyDescent="0.25">
      <c r="A10" s="65" t="s">
        <v>43</v>
      </c>
      <c r="B10" s="65"/>
      <c r="C10" s="77"/>
      <c r="D10" s="77"/>
      <c r="F10" s="205">
        <f>+' Niagara Falls Blvd 22 '!$L$29+' Niagara Falls Blvd 22 '!$L$30-' Niagara Falls Blvd 22 '!$L$16-' Niagara Falls Blvd 22 '!$L$18</f>
        <v>16800</v>
      </c>
      <c r="G10" s="125">
        <f>+F10/F6</f>
        <v>3.0987681588116031E-2</v>
      </c>
      <c r="J10" s="205">
        <f>+' Niagara Falls Blvd 22 '!$L$29+' Niagara Falls Blvd 22 '!$L$30-' Niagara Falls Blvd 22 '!$L$16-' Niagara Falls Blvd 22 '!$L$18</f>
        <v>16800</v>
      </c>
      <c r="K10" s="125">
        <f>+J10/J6</f>
        <v>2.9240912614716025E-2</v>
      </c>
      <c r="N10" s="205">
        <f>+' Niagara Falls Blvd 22 '!$L$29+' Niagara Falls Blvd 22 '!$L$30-' Niagara Falls Blvd 22 '!$L$16-' Niagara Falls Blvd 22 '!$L$18</f>
        <v>16800</v>
      </c>
      <c r="O10" s="125">
        <f>+N10/N6</f>
        <v>2.7494143641316023E-2</v>
      </c>
      <c r="R10" s="205">
        <f>+' Niagara Falls Blvd 22 '!$L$29+' Niagara Falls Blvd 22 '!$L$30-' Niagara Falls Blvd 22 '!$L$16-' Niagara Falls Blvd 22 '!$L$18</f>
        <v>16800</v>
      </c>
      <c r="S10" s="125">
        <f>+R10/R6</f>
        <v>2.5747374667916025E-2</v>
      </c>
      <c r="V10" s="205">
        <f>+' Niagara Falls Blvd 22 '!$L$29+' Niagara Falls Blvd 22 '!$L$30-' Niagara Falls Blvd 22 '!$L$16-' Niagara Falls Blvd 22 '!$L$18</f>
        <v>16800</v>
      </c>
      <c r="W10" s="125">
        <f>+V10/V6</f>
        <v>2.4000605694516026E-2</v>
      </c>
      <c r="Z10" s="205">
        <f>+' Niagara Falls Blvd 22 '!$L$29+' Niagara Falls Blvd 22 '!$L$30-' Niagara Falls Blvd 22 '!$L$16-' Niagara Falls Blvd 22 '!$L$18</f>
        <v>16800</v>
      </c>
      <c r="AA10" s="125">
        <f>+Z10/Z6</f>
        <v>2.225383672111602E-2</v>
      </c>
      <c r="AD10" s="205">
        <f>+' Niagara Falls Blvd 22 '!$L$29+' Niagara Falls Blvd 22 '!$L$30-' Niagara Falls Blvd 22 '!$L$16-' Niagara Falls Blvd 22 '!$L$18</f>
        <v>16800</v>
      </c>
      <c r="AE10" s="125">
        <f>+AD10/AD6</f>
        <v>2.0507067747716018E-2</v>
      </c>
    </row>
    <row r="11" spans="1:32" ht="15.75" x14ac:dyDescent="0.25">
      <c r="A11" s="65"/>
      <c r="B11" s="65"/>
      <c r="C11" s="77"/>
      <c r="D11" s="77"/>
      <c r="F11" s="205" t="s">
        <v>46</v>
      </c>
      <c r="G11" s="125"/>
      <c r="J11" s="205" t="s">
        <v>46</v>
      </c>
      <c r="K11" s="125"/>
      <c r="N11" s="205" t="s">
        <v>46</v>
      </c>
      <c r="O11" s="125"/>
      <c r="R11" s="205" t="s">
        <v>46</v>
      </c>
      <c r="S11" s="125"/>
      <c r="V11" s="205" t="s">
        <v>46</v>
      </c>
      <c r="W11" s="125"/>
      <c r="Z11" s="205" t="s">
        <v>46</v>
      </c>
      <c r="AA11" s="125"/>
      <c r="AD11" s="205" t="s">
        <v>46</v>
      </c>
      <c r="AE11" s="125"/>
    </row>
    <row r="12" spans="1:32" ht="15.75" x14ac:dyDescent="0.25">
      <c r="A12" s="65" t="s">
        <v>41</v>
      </c>
      <c r="B12" s="65"/>
      <c r="C12" s="77"/>
      <c r="D12" s="77"/>
      <c r="F12" s="204">
        <f>+F6-F10-F9</f>
        <v>518302.95543888467</v>
      </c>
      <c r="G12" s="73">
        <f>+F12/F6</f>
        <v>0.95601231841188394</v>
      </c>
      <c r="J12" s="204">
        <f>+J6-J10-J9</f>
        <v>550268.48443762341</v>
      </c>
      <c r="K12" s="73">
        <f>+J12/J6</f>
        <v>0.95775908738528404</v>
      </c>
      <c r="N12" s="204">
        <f>+N6-N10-N9</f>
        <v>586295.70708296157</v>
      </c>
      <c r="O12" s="73">
        <f>+N12/N6</f>
        <v>0.95950585635868391</v>
      </c>
      <c r="R12" s="204">
        <f>+R6-R10-R9</f>
        <v>627211.29100989248</v>
      </c>
      <c r="S12" s="73">
        <f>+R12/R6</f>
        <v>0.961252625332084</v>
      </c>
      <c r="V12" s="204">
        <f>+V6-V10-V9</f>
        <v>674082.56400915678</v>
      </c>
      <c r="W12" s="73">
        <f>+V12/V6</f>
        <v>0.96299939430548398</v>
      </c>
      <c r="Z12" s="204">
        <f>+Z6-Z10-Z9</f>
        <v>728311.9646378191</v>
      </c>
      <c r="AA12" s="73">
        <f>+Z12/Z6</f>
        <v>0.96474616327888407</v>
      </c>
      <c r="AD12" s="204">
        <f>+AD6-AD10-AD9</f>
        <v>791779.76401071681</v>
      </c>
      <c r="AE12" s="73">
        <f>+AD12/AD6</f>
        <v>0.96649293225228405</v>
      </c>
    </row>
    <row r="13" spans="1:32" ht="15.75" x14ac:dyDescent="0.25">
      <c r="A13" s="65"/>
      <c r="B13" s="65"/>
      <c r="C13" s="77"/>
      <c r="D13" s="77"/>
      <c r="F13" s="205"/>
      <c r="G13" s="125"/>
      <c r="J13" s="205"/>
      <c r="K13" s="125"/>
      <c r="N13" s="205"/>
      <c r="O13" s="125"/>
      <c r="R13" s="205"/>
      <c r="S13" s="125"/>
      <c r="V13" s="205"/>
      <c r="W13" s="125"/>
      <c r="Z13" s="205"/>
      <c r="AA13" s="125"/>
      <c r="AD13" s="205"/>
      <c r="AE13" s="125"/>
    </row>
    <row r="14" spans="1:32" ht="15.75" x14ac:dyDescent="0.25">
      <c r="A14" s="65" t="s">
        <v>6</v>
      </c>
      <c r="C14" s="74"/>
      <c r="D14" s="74"/>
      <c r="F14" s="206"/>
      <c r="G14" s="76"/>
      <c r="J14" s="206"/>
      <c r="K14" s="76"/>
      <c r="N14" s="206"/>
      <c r="O14" s="76"/>
      <c r="R14" s="206"/>
      <c r="S14" s="76"/>
      <c r="V14" s="206"/>
      <c r="W14" s="76"/>
      <c r="Z14" s="206"/>
      <c r="AA14" s="76"/>
      <c r="AD14" s="206"/>
      <c r="AE14" s="76"/>
    </row>
    <row r="15" spans="1:32" ht="15.75" x14ac:dyDescent="0.25">
      <c r="A15" s="92" t="s">
        <v>7</v>
      </c>
      <c r="C15" s="74">
        <v>0.05</v>
      </c>
      <c r="D15" s="74"/>
      <c r="F15" s="206">
        <f>+' Niagara Falls Blvd 22 '!$L$35</f>
        <v>2600</v>
      </c>
      <c r="G15" s="210">
        <f>+F15/F6</f>
        <v>4.7957126267322431E-3</v>
      </c>
      <c r="H15" s="93" t="s">
        <v>46</v>
      </c>
      <c r="J15" s="206">
        <f>+' Niagara Falls Blvd 22 '!$L$35</f>
        <v>2600</v>
      </c>
      <c r="K15" s="210">
        <f>+J15/J6</f>
        <v>4.5253793332298608E-3</v>
      </c>
      <c r="L15" s="93" t="s">
        <v>46</v>
      </c>
      <c r="N15" s="206">
        <f>+' Niagara Falls Blvd 22 '!$L$35</f>
        <v>2600</v>
      </c>
      <c r="O15" s="210">
        <f>+N15/N6</f>
        <v>4.2550460397274802E-3</v>
      </c>
      <c r="P15" s="93" t="s">
        <v>46</v>
      </c>
      <c r="R15" s="206">
        <f>+' Niagara Falls Blvd 22 '!$L$35</f>
        <v>2600</v>
      </c>
      <c r="S15" s="210">
        <f>+R15/R6</f>
        <v>3.9847127462250987E-3</v>
      </c>
      <c r="T15" s="93" t="s">
        <v>46</v>
      </c>
      <c r="V15" s="206">
        <f>+' Niagara Falls Blvd 22 '!$L$35</f>
        <v>2600</v>
      </c>
      <c r="W15" s="210">
        <f>+V15/V6</f>
        <v>3.7143794527227181E-3</v>
      </c>
      <c r="X15" s="93" t="s">
        <v>46</v>
      </c>
      <c r="Z15" s="206">
        <f>+' Niagara Falls Blvd 22 '!$L$35</f>
        <v>2600</v>
      </c>
      <c r="AA15" s="210">
        <f>+Z15/Z6</f>
        <v>3.4440461592203367E-3</v>
      </c>
      <c r="AB15" s="93" t="s">
        <v>46</v>
      </c>
      <c r="AD15" s="206">
        <f>+' Niagara Falls Blvd 22 '!$L$35</f>
        <v>2600</v>
      </c>
      <c r="AE15" s="210">
        <f>+AD15/AD6</f>
        <v>3.1737128657179552E-3</v>
      </c>
      <c r="AF15" s="93" t="s">
        <v>46</v>
      </c>
    </row>
    <row r="16" spans="1:32" ht="15.75" x14ac:dyDescent="0.25">
      <c r="A16" s="92"/>
      <c r="C16" s="74"/>
      <c r="D16" s="74"/>
      <c r="F16" s="206"/>
      <c r="G16" s="76"/>
      <c r="J16" s="206"/>
      <c r="K16" s="76"/>
      <c r="N16" s="206"/>
      <c r="O16" s="76"/>
      <c r="R16" s="206"/>
      <c r="S16" s="76"/>
      <c r="V16" s="206"/>
      <c r="W16" s="76"/>
      <c r="Z16" s="206"/>
      <c r="AA16" s="76"/>
      <c r="AD16" s="206"/>
      <c r="AE16" s="76"/>
    </row>
    <row r="17" spans="1:32" ht="15.75" x14ac:dyDescent="0.25">
      <c r="A17" s="92" t="s">
        <v>8</v>
      </c>
      <c r="C17" s="74">
        <v>0.15</v>
      </c>
      <c r="D17" s="74"/>
      <c r="F17" s="206">
        <f>SUM(' Niagara Falls Blvd 22 '!$L$44:$L$53)</f>
        <v>222095.182</v>
      </c>
      <c r="G17" s="76">
        <f>F17/F6</f>
        <v>0.40965564178992137</v>
      </c>
      <c r="J17" s="206">
        <f>SUM(' Niagara Falls Blvd 22 '!$L$44:$L$53)</f>
        <v>222095.182</v>
      </c>
      <c r="K17" s="76">
        <f>J17/J6</f>
        <v>0.38656344101258638</v>
      </c>
      <c r="N17" s="206">
        <f>SUM(' Niagara Falls Blvd 22 '!$L$44:$L$53)</f>
        <v>222095.182</v>
      </c>
      <c r="O17" s="76">
        <f>N17/N6</f>
        <v>0.36347124023525151</v>
      </c>
      <c r="R17" s="206">
        <f>SUM(' Niagara Falls Blvd 22 '!$L$44:$L$53)</f>
        <v>222095.182</v>
      </c>
      <c r="S17" s="76">
        <f>R17/R6</f>
        <v>0.34037903945791659</v>
      </c>
      <c r="V17" s="206">
        <f>SUM(' Niagara Falls Blvd 22 '!$L$44:$L$53)</f>
        <v>222095.182</v>
      </c>
      <c r="W17" s="76">
        <f>V17/V6</f>
        <v>0.31728683868058172</v>
      </c>
      <c r="Z17" s="206">
        <f>SUM(' Niagara Falls Blvd 22 '!$L$44:$L$53)</f>
        <v>222095.182</v>
      </c>
      <c r="AA17" s="76">
        <f>Z17/Z6</f>
        <v>0.29419463790324679</v>
      </c>
      <c r="AD17" s="206">
        <f>SUM(' Niagara Falls Blvd 22 '!$L$44:$L$53)</f>
        <v>222095.182</v>
      </c>
      <c r="AE17" s="76">
        <f>AD17/AD6</f>
        <v>0.27110243712591187</v>
      </c>
    </row>
    <row r="18" spans="1:32" ht="15.75" x14ac:dyDescent="0.25">
      <c r="A18" s="92"/>
      <c r="C18" s="74"/>
      <c r="D18" s="74"/>
      <c r="F18" s="206"/>
      <c r="G18" s="76"/>
      <c r="J18" s="206"/>
      <c r="K18" s="76"/>
      <c r="N18" s="206"/>
      <c r="O18" s="76"/>
      <c r="R18" s="206"/>
      <c r="S18" s="76"/>
      <c r="V18" s="206"/>
      <c r="W18" s="76"/>
      <c r="Z18" s="206"/>
      <c r="AA18" s="76"/>
      <c r="AD18" s="206"/>
      <c r="AE18" s="76"/>
    </row>
    <row r="19" spans="1:32" ht="15.75" x14ac:dyDescent="0.25">
      <c r="A19" s="92" t="s">
        <v>9</v>
      </c>
      <c r="C19" s="74">
        <v>0.4</v>
      </c>
      <c r="D19" s="74"/>
      <c r="F19" s="206">
        <f>SUM(' Niagara Falls Blvd 22 '!$L$54:$L$62)</f>
        <v>225170.18200242225</v>
      </c>
      <c r="G19" s="76">
        <f>F19/F6</f>
        <v>0.41532749422792831</v>
      </c>
      <c r="J19" s="206">
        <f>SUM(' Niagara Falls Blvd 22 '!$L$54:$L$62)</f>
        <v>225170.18200242225</v>
      </c>
      <c r="K19" s="76">
        <f>J19/J6</f>
        <v>0.39191557234360314</v>
      </c>
      <c r="N19" s="206">
        <f>SUM(' Niagara Falls Blvd 22 '!$L$54:$L$62)</f>
        <v>225170.18200242225</v>
      </c>
      <c r="O19" s="76">
        <f>N19/N6</f>
        <v>0.36850365045927796</v>
      </c>
      <c r="R19" s="206">
        <f>SUM(' Niagara Falls Blvd 22 '!$L$54:$L$62)</f>
        <v>225170.18200242225</v>
      </c>
      <c r="S19" s="76">
        <f>R19/R6</f>
        <v>0.34509172857495279</v>
      </c>
      <c r="V19" s="206">
        <f>SUM(' Niagara Falls Blvd 22 '!$L$54:$L$62)</f>
        <v>225170.18200242225</v>
      </c>
      <c r="W19" s="76">
        <f>V19/V6</f>
        <v>0.32167980669062773</v>
      </c>
      <c r="Z19" s="206">
        <f>SUM(' Niagara Falls Blvd 22 '!$L$54:$L$62)</f>
        <v>225170.18200242225</v>
      </c>
      <c r="AA19" s="76">
        <f>Z19/Z6</f>
        <v>0.29826788480630251</v>
      </c>
      <c r="AD19" s="206">
        <f>SUM(' Niagara Falls Blvd 22 '!$L$54:$L$62)</f>
        <v>225170.18200242225</v>
      </c>
      <c r="AE19" s="76">
        <f>AD19/AD6</f>
        <v>0.27485596292197734</v>
      </c>
    </row>
    <row r="20" spans="1:32" ht="15.75" x14ac:dyDescent="0.25">
      <c r="A20" s="92"/>
      <c r="C20" s="74"/>
      <c r="D20" s="74"/>
      <c r="F20" s="206"/>
      <c r="G20" s="76"/>
      <c r="J20" s="206"/>
      <c r="K20" s="76"/>
      <c r="N20" s="206"/>
      <c r="O20" s="76"/>
      <c r="R20" s="206"/>
      <c r="S20" s="76"/>
      <c r="V20" s="206"/>
      <c r="W20" s="76"/>
      <c r="Z20" s="206"/>
      <c r="AA20" s="76"/>
      <c r="AD20" s="206"/>
      <c r="AE20" s="76"/>
    </row>
    <row r="21" spans="1:32" ht="15.75" x14ac:dyDescent="0.25">
      <c r="A21" s="92" t="s">
        <v>10</v>
      </c>
      <c r="C21" s="77">
        <v>0.15</v>
      </c>
      <c r="D21" s="77"/>
      <c r="F21" s="208">
        <f>SUM(' Niagara Falls Blvd 22 '!$L$63:$L$77)</f>
        <v>14222.4997</v>
      </c>
      <c r="G21" s="79">
        <f>+F21/F6</f>
        <v>2.623346976730213E-2</v>
      </c>
      <c r="J21" s="208">
        <f>SUM(' Niagara Falls Blvd 22 '!$L$63:$L$77)</f>
        <v>14222.4997</v>
      </c>
      <c r="K21" s="79">
        <f>+J21/J6</f>
        <v>2.4754694695864578E-2</v>
      </c>
      <c r="N21" s="208">
        <f>SUM(' Niagara Falls Blvd 22 '!$L$63:$L$77)</f>
        <v>14222.4997</v>
      </c>
      <c r="O21" s="79">
        <f>+N21/N6</f>
        <v>2.3275919624427027E-2</v>
      </c>
      <c r="R21" s="208">
        <f>SUM(' Niagara Falls Blvd 22 '!$L$63:$L$77)</f>
        <v>14222.4997</v>
      </c>
      <c r="S21" s="79">
        <f>+R21/R6</f>
        <v>2.1797144552989478E-2</v>
      </c>
      <c r="V21" s="208">
        <f>SUM(' Niagara Falls Blvd 22 '!$L$63:$L$77)</f>
        <v>14222.4997</v>
      </c>
      <c r="W21" s="79">
        <f>+V21/V6</f>
        <v>2.0318369481551933E-2</v>
      </c>
      <c r="Z21" s="208">
        <f>SUM(' Niagara Falls Blvd 22 '!$L$63:$L$77)</f>
        <v>14222.4997</v>
      </c>
      <c r="AA21" s="79">
        <f>+Z21/Z6</f>
        <v>1.8839594410114381E-2</v>
      </c>
      <c r="AD21" s="208">
        <f>SUM(' Niagara Falls Blvd 22 '!$L$63:$L$77)</f>
        <v>14222.4997</v>
      </c>
      <c r="AE21" s="79">
        <f>+AD21/AD6</f>
        <v>1.7360819338676829E-2</v>
      </c>
    </row>
    <row r="22" spans="1:32" ht="15.75" x14ac:dyDescent="0.25">
      <c r="A22" s="65"/>
      <c r="C22" s="77"/>
      <c r="D22" s="77"/>
      <c r="F22" s="206"/>
      <c r="G22" s="76"/>
      <c r="J22" s="206"/>
      <c r="K22" s="76"/>
      <c r="N22" s="206"/>
      <c r="O22" s="76"/>
      <c r="R22" s="206"/>
      <c r="S22" s="76"/>
      <c r="V22" s="206"/>
      <c r="W22" s="76"/>
      <c r="Z22" s="206"/>
      <c r="AA22" s="76"/>
      <c r="AD22" s="206"/>
      <c r="AE22" s="76"/>
    </row>
    <row r="23" spans="1:32" ht="16.5" thickBot="1" x14ac:dyDescent="0.3">
      <c r="A23" s="65" t="s">
        <v>11</v>
      </c>
      <c r="C23" s="77">
        <v>0.75</v>
      </c>
      <c r="D23" s="77"/>
      <c r="F23" s="209">
        <f>F15+F17+F19+F21</f>
        <v>464087.86370242224</v>
      </c>
      <c r="G23" s="80">
        <f>F23/F6</f>
        <v>0.85601231841188408</v>
      </c>
      <c r="J23" s="209">
        <f>J15+J17+J19+J21</f>
        <v>464087.86370242224</v>
      </c>
      <c r="K23" s="80">
        <f>J23/J6</f>
        <v>0.8077590873852839</v>
      </c>
      <c r="N23" s="209">
        <f>N15+N17+N19+N21</f>
        <v>464087.86370242224</v>
      </c>
      <c r="O23" s="80">
        <f>N23/N6</f>
        <v>0.75950585635868395</v>
      </c>
      <c r="R23" s="209">
        <f>R15+R17+R19+R21</f>
        <v>464087.86370242224</v>
      </c>
      <c r="S23" s="80">
        <f>R23/R6</f>
        <v>0.711252625332084</v>
      </c>
      <c r="V23" s="209">
        <f>V15+V17+V19+V21</f>
        <v>464087.86370242224</v>
      </c>
      <c r="W23" s="80">
        <f>V23/V6</f>
        <v>0.66299939430548405</v>
      </c>
      <c r="Z23" s="209">
        <f>Z15+Z17+Z19+Z21</f>
        <v>464087.86370242224</v>
      </c>
      <c r="AA23" s="80">
        <f>Z23/Z6</f>
        <v>0.61474616327888398</v>
      </c>
      <c r="AD23" s="209">
        <f>AD15+AD17+AD19+AD21</f>
        <v>464087.86370242224</v>
      </c>
      <c r="AE23" s="80">
        <f>AD23/AD6</f>
        <v>0.56649293225228392</v>
      </c>
    </row>
    <row r="24" spans="1:32" ht="16.5" thickTop="1" x14ac:dyDescent="0.25">
      <c r="A24" s="65"/>
      <c r="B24" s="65"/>
      <c r="C24" s="77"/>
      <c r="D24" s="77"/>
      <c r="F24" s="75"/>
      <c r="G24" s="76"/>
      <c r="J24" s="75"/>
      <c r="K24" s="76"/>
      <c r="N24" s="75"/>
      <c r="O24" s="76"/>
      <c r="R24" s="75"/>
      <c r="S24" s="76"/>
      <c r="V24" s="75"/>
      <c r="W24" s="76"/>
      <c r="Z24" s="75"/>
      <c r="AA24" s="76"/>
      <c r="AD24" s="75"/>
      <c r="AE24" s="76"/>
    </row>
    <row r="25" spans="1:32" ht="15.75" x14ac:dyDescent="0.25">
      <c r="A25" s="65" t="s">
        <v>12</v>
      </c>
      <c r="B25" s="65"/>
      <c r="C25" s="77">
        <v>0.25</v>
      </c>
      <c r="D25" s="77"/>
      <c r="F25" s="206">
        <f>+F6*(G25)</f>
        <v>54215.091736462484</v>
      </c>
      <c r="G25" s="237">
        <f>+H25*1%</f>
        <v>0.1</v>
      </c>
      <c r="H25" s="63">
        <v>10</v>
      </c>
      <c r="J25" s="206">
        <f>+J6*(K25)</f>
        <v>86180.620735201126</v>
      </c>
      <c r="K25" s="237">
        <f>+L25*1%</f>
        <v>0.15</v>
      </c>
      <c r="L25" s="63">
        <v>15</v>
      </c>
      <c r="N25" s="206">
        <f>+N6*(O25)</f>
        <v>122207.84338053933</v>
      </c>
      <c r="O25" s="237">
        <f>+P25*1%</f>
        <v>0.2</v>
      </c>
      <c r="P25" s="63">
        <v>20</v>
      </c>
      <c r="R25" s="206">
        <f>+R6*(S25)</f>
        <v>163123.42730747024</v>
      </c>
      <c r="S25" s="237">
        <f>+T25*1%</f>
        <v>0.25</v>
      </c>
      <c r="T25" s="63">
        <v>25</v>
      </c>
      <c r="V25" s="206">
        <f>+V6*(W25)</f>
        <v>209994.70030673456</v>
      </c>
      <c r="W25" s="237">
        <f>+X25*1%</f>
        <v>0.3</v>
      </c>
      <c r="X25" s="63">
        <v>30</v>
      </c>
      <c r="Z25" s="206">
        <f>+Z6*(AA25)</f>
        <v>264224.10093539685</v>
      </c>
      <c r="AA25" s="237">
        <f>+AB25*1%</f>
        <v>0.35000000000000003</v>
      </c>
      <c r="AB25" s="63">
        <v>35</v>
      </c>
      <c r="AD25" s="206">
        <f>+AD6*(AE25)</f>
        <v>327691.90030829457</v>
      </c>
      <c r="AE25" s="237">
        <f>+AF25*1%</f>
        <v>0.4</v>
      </c>
      <c r="AF25" s="63">
        <v>40</v>
      </c>
    </row>
    <row r="26" spans="1:32" ht="15.75" x14ac:dyDescent="0.25">
      <c r="A26" s="81"/>
      <c r="B26" s="81"/>
    </row>
    <row r="27" spans="1:32" ht="15.75" x14ac:dyDescent="0.25">
      <c r="A27" s="81" t="s">
        <v>13</v>
      </c>
      <c r="B27" s="81"/>
      <c r="C27" s="82"/>
      <c r="D27" s="82"/>
      <c r="F27" s="211">
        <v>15000</v>
      </c>
      <c r="J27" s="211">
        <v>15000</v>
      </c>
      <c r="N27" s="211">
        <v>15000</v>
      </c>
      <c r="R27" s="211">
        <v>15000</v>
      </c>
      <c r="V27" s="211">
        <v>15000</v>
      </c>
      <c r="Z27" s="211">
        <v>15000</v>
      </c>
      <c r="AD27" s="211">
        <v>15000</v>
      </c>
    </row>
    <row r="28" spans="1:32" ht="15.75" x14ac:dyDescent="0.25">
      <c r="A28" s="81"/>
      <c r="B28" s="81"/>
    </row>
    <row r="29" spans="1:32" ht="15.75" x14ac:dyDescent="0.25">
      <c r="A29" s="81" t="s">
        <v>33</v>
      </c>
      <c r="B29" s="81"/>
      <c r="C29" s="83">
        <v>50</v>
      </c>
      <c r="D29" s="215"/>
      <c r="F29" s="84">
        <f>+F6/F27</f>
        <v>36.143394490974984</v>
      </c>
      <c r="J29" s="84">
        <f>+J6/J27</f>
        <v>38.302498104533832</v>
      </c>
      <c r="N29" s="84">
        <f>+N6/N27</f>
        <v>40.735947793513112</v>
      </c>
      <c r="R29" s="84">
        <f>+R6/R27</f>
        <v>43.499580615325399</v>
      </c>
      <c r="V29" s="84">
        <f>+V6/V27</f>
        <v>46.665488957052126</v>
      </c>
      <c r="Z29" s="84">
        <f>+Z6/Z27</f>
        <v>50.328400178170824</v>
      </c>
      <c r="AD29" s="84">
        <f>+AD6/AD27</f>
        <v>54.615316718049094</v>
      </c>
    </row>
    <row r="30" spans="1:32" ht="15.75" x14ac:dyDescent="0.25">
      <c r="A30" s="81"/>
      <c r="B30" s="81"/>
      <c r="C30" s="82"/>
      <c r="D30" s="82"/>
    </row>
    <row r="31" spans="1:32" ht="15.75" x14ac:dyDescent="0.25">
      <c r="A31" s="85" t="s">
        <v>15</v>
      </c>
      <c r="B31" s="85"/>
      <c r="C31" s="86" t="s">
        <v>16</v>
      </c>
      <c r="D31" s="216"/>
      <c r="E31" s="75"/>
      <c r="F31" s="75">
        <f>+F17/F27</f>
        <v>14.806345466666667</v>
      </c>
      <c r="G31" s="75"/>
      <c r="H31" s="75"/>
      <c r="J31" s="75">
        <f>+J17/J27</f>
        <v>14.806345466666667</v>
      </c>
      <c r="K31" s="75"/>
      <c r="L31" s="75"/>
      <c r="N31" s="75">
        <f>+N17/N27</f>
        <v>14.806345466666667</v>
      </c>
      <c r="O31" s="75"/>
      <c r="P31" s="75"/>
      <c r="R31" s="75">
        <f>+R17/R27</f>
        <v>14.806345466666667</v>
      </c>
      <c r="S31" s="75"/>
      <c r="T31" s="75"/>
      <c r="V31" s="75">
        <f>+V17/V27</f>
        <v>14.806345466666667</v>
      </c>
      <c r="W31" s="75"/>
      <c r="X31" s="75"/>
      <c r="Z31" s="75">
        <f>+Z17/Z27</f>
        <v>14.806345466666667</v>
      </c>
      <c r="AA31" s="75"/>
      <c r="AB31" s="75"/>
      <c r="AD31" s="75">
        <f>+AD17/AD27</f>
        <v>14.806345466666667</v>
      </c>
      <c r="AE31" s="75"/>
      <c r="AF31" s="75"/>
    </row>
    <row r="32" spans="1:32" ht="15.75" x14ac:dyDescent="0.25">
      <c r="A32" s="81"/>
      <c r="B32" s="81"/>
      <c r="C32" s="81"/>
      <c r="D32" s="81"/>
    </row>
    <row r="33" spans="1:10" ht="15.75" x14ac:dyDescent="0.25">
      <c r="A33" s="81"/>
      <c r="B33" s="81"/>
      <c r="C33" s="81"/>
      <c r="D33" s="81"/>
    </row>
    <row r="34" spans="1:10" ht="16.5" hidden="1" thickBot="1" x14ac:dyDescent="0.3">
      <c r="A34" s="87" t="s">
        <v>17</v>
      </c>
      <c r="B34" s="87"/>
      <c r="C34" s="87"/>
      <c r="D34" s="87"/>
      <c r="E34" s="88"/>
      <c r="F34" s="88"/>
      <c r="G34" s="88"/>
      <c r="H34" s="89"/>
      <c r="I34" s="88"/>
      <c r="J34" s="88"/>
    </row>
    <row r="35" spans="1:10" ht="16.5" hidden="1" thickBot="1" x14ac:dyDescent="0.3">
      <c r="A35" s="82" t="s">
        <v>18</v>
      </c>
      <c r="F35" s="94" t="s">
        <v>34</v>
      </c>
    </row>
    <row r="36" spans="1:10" ht="15.75" hidden="1" x14ac:dyDescent="0.25">
      <c r="A36" s="82"/>
      <c r="B36" s="63" t="s">
        <v>19</v>
      </c>
      <c r="C36" s="75">
        <v>60000</v>
      </c>
      <c r="D36" s="75"/>
      <c r="F36" s="320">
        <v>0.5</v>
      </c>
    </row>
    <row r="37" spans="1:10" ht="15.75" hidden="1" x14ac:dyDescent="0.25">
      <c r="A37" s="82"/>
      <c r="B37" s="63" t="s">
        <v>20</v>
      </c>
      <c r="C37" s="75">
        <f>C36*0.25</f>
        <v>15000</v>
      </c>
      <c r="D37" s="75"/>
      <c r="F37" s="320"/>
      <c r="G37" s="93"/>
    </row>
    <row r="38" spans="1:10" ht="15.75" hidden="1" x14ac:dyDescent="0.25">
      <c r="A38" s="82"/>
      <c r="B38" s="63" t="s">
        <v>21</v>
      </c>
      <c r="C38" s="75">
        <f>C36*0.05</f>
        <v>3000</v>
      </c>
      <c r="D38" s="75"/>
      <c r="F38" s="320"/>
    </row>
    <row r="39" spans="1:10" ht="15.75" hidden="1" x14ac:dyDescent="0.25">
      <c r="A39" s="82"/>
      <c r="C39" s="72">
        <f>SUM(C36:C38)</f>
        <v>78000</v>
      </c>
      <c r="D39" s="124"/>
      <c r="F39" s="95">
        <f>$C$39*F36</f>
        <v>39000</v>
      </c>
    </row>
    <row r="40" spans="1:10" ht="15.75" hidden="1" x14ac:dyDescent="0.25">
      <c r="A40" s="82" t="s">
        <v>22</v>
      </c>
      <c r="C40" s="75"/>
      <c r="D40" s="75"/>
    </row>
    <row r="41" spans="1:10" ht="15.75" hidden="1" x14ac:dyDescent="0.25">
      <c r="A41" s="82"/>
      <c r="B41" s="63" t="s">
        <v>19</v>
      </c>
      <c r="C41" s="75">
        <v>45000</v>
      </c>
      <c r="D41" s="75"/>
      <c r="F41" s="320">
        <v>1</v>
      </c>
    </row>
    <row r="42" spans="1:10" ht="15.75" hidden="1" x14ac:dyDescent="0.25">
      <c r="A42" s="82"/>
      <c r="B42" s="63" t="s">
        <v>20</v>
      </c>
      <c r="C42" s="75">
        <f>C41*0.25</f>
        <v>11250</v>
      </c>
      <c r="D42" s="75"/>
      <c r="F42" s="320"/>
    </row>
    <row r="43" spans="1:10" ht="15.75" hidden="1" x14ac:dyDescent="0.25">
      <c r="A43" s="82"/>
      <c r="B43" s="63" t="s">
        <v>21</v>
      </c>
      <c r="C43" s="75">
        <f>C41*0.05</f>
        <v>2250</v>
      </c>
      <c r="D43" s="75"/>
      <c r="F43" s="320"/>
    </row>
    <row r="44" spans="1:10" ht="15.75" hidden="1" x14ac:dyDescent="0.25">
      <c r="A44" s="82"/>
      <c r="C44" s="72">
        <f>SUM(C41:C43)</f>
        <v>58500</v>
      </c>
      <c r="D44" s="124"/>
      <c r="F44" s="95">
        <f>$C$44*F41</f>
        <v>58500</v>
      </c>
    </row>
    <row r="45" spans="1:10" ht="15.75" hidden="1" x14ac:dyDescent="0.25">
      <c r="A45" s="82" t="s">
        <v>23</v>
      </c>
      <c r="C45" s="75"/>
      <c r="D45" s="75"/>
    </row>
    <row r="46" spans="1:10" ht="15.75" hidden="1" x14ac:dyDescent="0.25">
      <c r="A46" s="82"/>
      <c r="B46" s="63" t="s">
        <v>19</v>
      </c>
      <c r="C46" s="75">
        <v>35000</v>
      </c>
      <c r="D46" s="75"/>
      <c r="F46" s="319">
        <v>3</v>
      </c>
    </row>
    <row r="47" spans="1:10" ht="15" hidden="1" customHeight="1" x14ac:dyDescent="0.2">
      <c r="B47" s="63" t="s">
        <v>20</v>
      </c>
      <c r="C47" s="75">
        <f>C46*0.25</f>
        <v>8750</v>
      </c>
      <c r="D47" s="75"/>
      <c r="F47" s="319"/>
      <c r="G47" s="93"/>
    </row>
    <row r="48" spans="1:10" ht="15" hidden="1" customHeight="1" x14ac:dyDescent="0.2">
      <c r="B48" s="63" t="s">
        <v>21</v>
      </c>
      <c r="C48" s="75">
        <f>C46*0.05</f>
        <v>1750</v>
      </c>
      <c r="D48" s="75"/>
      <c r="F48" s="319"/>
    </row>
    <row r="49" spans="1:6" hidden="1" x14ac:dyDescent="0.2">
      <c r="C49" s="72">
        <f>SUM(C46:C48)</f>
        <v>45500</v>
      </c>
      <c r="D49" s="124"/>
      <c r="F49" s="95">
        <f>$C$49*F46</f>
        <v>136500</v>
      </c>
    </row>
    <row r="50" spans="1:6" ht="15.75" hidden="1" x14ac:dyDescent="0.25">
      <c r="A50" s="81" t="s">
        <v>24</v>
      </c>
      <c r="B50" s="81"/>
      <c r="C50" s="75"/>
      <c r="D50" s="75"/>
    </row>
    <row r="51" spans="1:6" ht="15.75" hidden="1" x14ac:dyDescent="0.25">
      <c r="A51" s="81"/>
      <c r="B51" s="91" t="s">
        <v>19</v>
      </c>
      <c r="C51" s="75">
        <v>40000</v>
      </c>
      <c r="D51" s="75"/>
      <c r="F51" s="320">
        <v>0.5</v>
      </c>
    </row>
    <row r="52" spans="1:6" ht="15.75" hidden="1" x14ac:dyDescent="0.25">
      <c r="A52" s="81"/>
      <c r="B52" s="91" t="s">
        <v>20</v>
      </c>
      <c r="C52" s="75">
        <f>C51*0.25</f>
        <v>10000</v>
      </c>
      <c r="D52" s="75"/>
      <c r="F52" s="320"/>
    </row>
    <row r="53" spans="1:6" ht="15.75" hidden="1" x14ac:dyDescent="0.25">
      <c r="A53" s="81"/>
      <c r="B53" s="91" t="s">
        <v>21</v>
      </c>
      <c r="C53" s="78">
        <f>C51*0.05</f>
        <v>2000</v>
      </c>
      <c r="D53" s="124"/>
      <c r="F53" s="320"/>
    </row>
    <row r="54" spans="1:6" ht="15.75" hidden="1" x14ac:dyDescent="0.25">
      <c r="A54" s="81"/>
      <c r="B54" s="81"/>
      <c r="C54" s="75">
        <f>C51+C52+C53</f>
        <v>52000</v>
      </c>
      <c r="D54" s="75"/>
      <c r="F54" s="95">
        <f>$C$54*F51</f>
        <v>26000</v>
      </c>
    </row>
    <row r="55" spans="1:6" hidden="1" x14ac:dyDescent="0.2"/>
    <row r="56" spans="1:6" ht="15.75" hidden="1" x14ac:dyDescent="0.25">
      <c r="A56" s="82" t="s">
        <v>151</v>
      </c>
      <c r="F56" s="213">
        <f>+F19-260000</f>
        <v>-34829.817997577746</v>
      </c>
    </row>
    <row r="57" spans="1:6" hidden="1" x14ac:dyDescent="0.2">
      <c r="F57" s="213"/>
    </row>
    <row r="58" spans="1:6" hidden="1" x14ac:dyDescent="0.2">
      <c r="F58" s="213"/>
    </row>
    <row r="59" spans="1:6" ht="16.5" hidden="1" thickBot="1" x14ac:dyDescent="0.3">
      <c r="A59" s="212" t="str">
        <f>+A19</f>
        <v>Payroll Salary &amp; Wages</v>
      </c>
      <c r="F59" s="214">
        <f>+F39+F44+F49+F54+F56</f>
        <v>225170.18200242225</v>
      </c>
    </row>
  </sheetData>
  <mergeCells count="11">
    <mergeCell ref="F51:F53"/>
    <mergeCell ref="J4:K4"/>
    <mergeCell ref="N4:O4"/>
    <mergeCell ref="F4:G4"/>
    <mergeCell ref="F36:F38"/>
    <mergeCell ref="F41:F43"/>
    <mergeCell ref="R4:S4"/>
    <mergeCell ref="V4:W4"/>
    <mergeCell ref="Z4:AA4"/>
    <mergeCell ref="AD4:AE4"/>
    <mergeCell ref="F46:F48"/>
  </mergeCells>
  <pageMargins left="0.25" right="0.25" top="0.75" bottom="0.75" header="0.3" footer="0.3"/>
  <pageSetup scale="38" orientation="landscape" horizontalDpi="0" verticalDpi="0"/>
  <headerFooter>
    <oddFooter>&amp;L&amp;"Calibri,Regular"&amp;K000000&amp;D&amp;R&amp;"Calibri,Regular"&amp;K000000&amp;F&amp;A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Spinner 1">
              <controlPr defaultSize="0" autoPict="0">
                <anchor moveWithCells="1" sizeWithCells="1">
                  <from>
                    <xdr:col>7</xdr:col>
                    <xdr:colOff>28575</xdr:colOff>
                    <xdr:row>24</xdr:row>
                    <xdr:rowOff>28575</xdr:rowOff>
                  </from>
                  <to>
                    <xdr:col>8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Spinner 2">
              <controlPr defaultSize="0" autoPict="0">
                <anchor moveWithCells="1" sizeWithCells="1">
                  <from>
                    <xdr:col>11</xdr:col>
                    <xdr:colOff>28575</xdr:colOff>
                    <xdr:row>24</xdr:row>
                    <xdr:rowOff>28575</xdr:rowOff>
                  </from>
                  <to>
                    <xdr:col>12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Spinner 3">
              <controlPr defaultSize="0" autoPict="0">
                <anchor moveWithCells="1" sizeWithCells="1">
                  <from>
                    <xdr:col>15</xdr:col>
                    <xdr:colOff>28575</xdr:colOff>
                    <xdr:row>24</xdr:row>
                    <xdr:rowOff>28575</xdr:rowOff>
                  </from>
                  <to>
                    <xdr:col>16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Spinner 4">
              <controlPr defaultSize="0" autoPict="0">
                <anchor moveWithCells="1" sizeWithCells="1">
                  <from>
                    <xdr:col>19</xdr:col>
                    <xdr:colOff>28575</xdr:colOff>
                    <xdr:row>24</xdr:row>
                    <xdr:rowOff>28575</xdr:rowOff>
                  </from>
                  <to>
                    <xdr:col>20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Spinner 5">
              <controlPr defaultSize="0" autoPict="0">
                <anchor moveWithCells="1" sizeWithCells="1">
                  <from>
                    <xdr:col>23</xdr:col>
                    <xdr:colOff>28575</xdr:colOff>
                    <xdr:row>24</xdr:row>
                    <xdr:rowOff>28575</xdr:rowOff>
                  </from>
                  <to>
                    <xdr:col>24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Spinner 6">
              <controlPr defaultSize="0" autoPict="0">
                <anchor moveWithCells="1" sizeWithCells="1">
                  <from>
                    <xdr:col>27</xdr:col>
                    <xdr:colOff>28575</xdr:colOff>
                    <xdr:row>24</xdr:row>
                    <xdr:rowOff>28575</xdr:rowOff>
                  </from>
                  <to>
                    <xdr:col>28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Spinner 7">
              <controlPr defaultSize="0" autoPict="0">
                <anchor moveWithCells="1" sizeWithCells="1">
                  <from>
                    <xdr:col>31</xdr:col>
                    <xdr:colOff>28575</xdr:colOff>
                    <xdr:row>24</xdr:row>
                    <xdr:rowOff>28575</xdr:rowOff>
                  </from>
                  <to>
                    <xdr:col>32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zoomScale="91" zoomScaleNormal="91" zoomScaleSheetLayoutView="100" workbookViewId="0">
      <selection activeCell="N18" sqref="N18"/>
    </sheetView>
  </sheetViews>
  <sheetFormatPr defaultColWidth="9.140625" defaultRowHeight="15" x14ac:dyDescent="0.2"/>
  <cols>
    <col min="1" max="1" width="28.7109375" style="63" customWidth="1"/>
    <col min="2" max="2" width="18.42578125" style="63" bestFit="1" customWidth="1"/>
    <col min="3" max="3" width="16.7109375" style="63" bestFit="1" customWidth="1"/>
    <col min="4" max="4" width="4.28515625" style="63" customWidth="1"/>
    <col min="5" max="5" width="16.7109375" style="63" customWidth="1"/>
    <col min="6" max="6" width="15" style="63" customWidth="1"/>
    <col min="7" max="7" width="7.85546875" style="63" customWidth="1"/>
    <col min="8" max="8" width="17.42578125" style="63" bestFit="1" customWidth="1"/>
    <col min="9" max="9" width="16.7109375" style="63" bestFit="1" customWidth="1"/>
    <col min="10" max="10" width="7.85546875" style="63" customWidth="1"/>
    <col min="11" max="11" width="16.42578125" style="63" customWidth="1"/>
    <col min="12" max="12" width="16.7109375" style="63" bestFit="1" customWidth="1"/>
    <col min="13" max="13" width="9.140625" style="63"/>
    <col min="14" max="14" width="11.85546875" style="63" bestFit="1" customWidth="1"/>
    <col min="15" max="15" width="9.140625" style="63"/>
    <col min="16" max="16" width="12.7109375" style="63" customWidth="1"/>
    <col min="17" max="16384" width="9.140625" style="63"/>
  </cols>
  <sheetData>
    <row r="1" spans="1:16" x14ac:dyDescent="0.2">
      <c r="E1" s="74"/>
    </row>
    <row r="2" spans="1:16" ht="15.75" thickBot="1" x14ac:dyDescent="0.25"/>
    <row r="3" spans="1:16" s="282" customFormat="1" ht="21" thickBot="1" x14ac:dyDescent="0.35">
      <c r="D3" s="283"/>
      <c r="E3" s="284"/>
      <c r="F3" s="285" t="s">
        <v>181</v>
      </c>
      <c r="G3" s="285"/>
      <c r="H3" s="285"/>
      <c r="I3" s="285"/>
      <c r="J3" s="285"/>
      <c r="K3" s="285"/>
      <c r="L3" s="286"/>
    </row>
    <row r="4" spans="1:16" s="282" customFormat="1" ht="20.25" x14ac:dyDescent="0.3">
      <c r="A4" s="287"/>
      <c r="B4" s="288"/>
      <c r="C4" s="289" t="s">
        <v>0</v>
      </c>
      <c r="D4" s="290"/>
      <c r="E4" s="321" t="s">
        <v>179</v>
      </c>
      <c r="F4" s="321"/>
      <c r="H4" s="318" t="s">
        <v>178</v>
      </c>
      <c r="I4" s="318"/>
      <c r="K4" s="318" t="s">
        <v>36</v>
      </c>
      <c r="L4" s="318"/>
    </row>
    <row r="5" spans="1:16" ht="15.75" x14ac:dyDescent="0.25">
      <c r="A5" s="67"/>
      <c r="B5" s="67"/>
      <c r="C5" s="68" t="s">
        <v>3</v>
      </c>
      <c r="D5" s="217"/>
      <c r="E5" s="69" t="s">
        <v>152</v>
      </c>
      <c r="F5" s="70" t="s">
        <v>3</v>
      </c>
      <c r="H5" s="69" t="s">
        <v>26</v>
      </c>
      <c r="I5" s="70" t="s">
        <v>3</v>
      </c>
      <c r="K5" s="69" t="s">
        <v>26</v>
      </c>
      <c r="L5" s="70" t="s">
        <v>3</v>
      </c>
    </row>
    <row r="6" spans="1:16" ht="15.75" x14ac:dyDescent="0.25">
      <c r="A6" s="65" t="s">
        <v>5</v>
      </c>
      <c r="B6" s="65"/>
      <c r="C6" s="71">
        <v>1</v>
      </c>
      <c r="D6" s="77"/>
      <c r="E6" s="204">
        <f>+H6+K6</f>
        <v>989550.91736462479</v>
      </c>
      <c r="F6" s="73">
        <f>E6/E6</f>
        <v>1</v>
      </c>
      <c r="H6" s="204">
        <f>(((+H10+H23)/(1-(I25+0.013))))</f>
        <v>542150.91736462479</v>
      </c>
      <c r="I6" s="73">
        <f>H6/H6</f>
        <v>1</v>
      </c>
      <c r="K6" s="204">
        <f>+'ReStore South 22'!L10</f>
        <v>447400</v>
      </c>
      <c r="L6" s="73">
        <f>K6/K6</f>
        <v>1</v>
      </c>
      <c r="N6" s="213" t="s">
        <v>46</v>
      </c>
    </row>
    <row r="7" spans="1:16" ht="15.75" x14ac:dyDescent="0.25">
      <c r="A7" s="65"/>
      <c r="B7" s="65"/>
      <c r="C7" s="77"/>
      <c r="D7" s="77"/>
      <c r="E7" s="205"/>
      <c r="F7" s="125"/>
      <c r="H7" s="205"/>
      <c r="I7" s="125"/>
      <c r="K7" s="205"/>
      <c r="L7" s="125"/>
      <c r="N7" s="213"/>
    </row>
    <row r="8" spans="1:16" ht="15.75" x14ac:dyDescent="0.25">
      <c r="A8" s="65"/>
      <c r="B8" s="65"/>
      <c r="C8" s="77"/>
      <c r="D8" s="77"/>
      <c r="E8" s="205"/>
      <c r="F8" s="125"/>
      <c r="H8" s="205"/>
      <c r="I8" s="125"/>
      <c r="K8" s="205"/>
      <c r="L8" s="125"/>
      <c r="P8" s="213"/>
    </row>
    <row r="9" spans="1:16" ht="15.75" x14ac:dyDescent="0.25">
      <c r="A9" s="65" t="s">
        <v>155</v>
      </c>
      <c r="B9" s="65"/>
      <c r="C9" s="77"/>
      <c r="D9" s="77"/>
      <c r="E9" s="205">
        <f>+H9+K9</f>
        <v>12864.161925740122</v>
      </c>
      <c r="F9" s="125">
        <f>+E9/E6</f>
        <v>1.2999999999999999E-2</v>
      </c>
      <c r="H9" s="205">
        <f>+H6*0.013</f>
        <v>7047.9619257401218</v>
      </c>
      <c r="I9" s="125">
        <f>+H9/H6</f>
        <v>1.2999999999999999E-2</v>
      </c>
      <c r="K9" s="205">
        <f>+'ReStore South 22'!L28</f>
        <v>5816.2</v>
      </c>
      <c r="L9" s="125">
        <f>+K9/K6</f>
        <v>1.2999999999999999E-2</v>
      </c>
      <c r="P9" s="213">
        <f>+H6</f>
        <v>542150.91736462479</v>
      </c>
    </row>
    <row r="10" spans="1:16" ht="15.75" x14ac:dyDescent="0.25">
      <c r="A10" s="65" t="s">
        <v>43</v>
      </c>
      <c r="B10" s="65"/>
      <c r="C10" s="77"/>
      <c r="D10" s="77"/>
      <c r="E10" s="205">
        <f>+H10+K10</f>
        <v>30300</v>
      </c>
      <c r="F10" s="125">
        <f>+E10/E6</f>
        <v>3.0619950391936435E-2</v>
      </c>
      <c r="H10" s="205">
        <f>+' Niagara Falls Blvd 22 '!L29+' Niagara Falls Blvd 22 '!L30-' Niagara Falls Blvd 22 '!L16-' Niagara Falls Blvd 22 '!L18</f>
        <v>16800</v>
      </c>
      <c r="I10" s="125">
        <f>+H10/H6</f>
        <v>3.0987681588116031E-2</v>
      </c>
      <c r="K10" s="205">
        <f>+'ReStore South 22'!L29+'ReStore South 22'!L30-'ReStore South 22'!L16-'ReStore South 22'!L18</f>
        <v>13500</v>
      </c>
      <c r="L10" s="125">
        <f>+K10/K6</f>
        <v>3.017434063477872E-2</v>
      </c>
      <c r="P10" s="213">
        <f>-H9</f>
        <v>-7047.9619257401218</v>
      </c>
    </row>
    <row r="11" spans="1:16" ht="15.75" x14ac:dyDescent="0.25">
      <c r="A11" s="65"/>
      <c r="B11" s="65"/>
      <c r="C11" s="77"/>
      <c r="D11" s="77"/>
      <c r="E11" s="205"/>
      <c r="F11" s="125"/>
      <c r="H11" s="205" t="s">
        <v>46</v>
      </c>
      <c r="I11" s="125"/>
      <c r="K11" s="205"/>
      <c r="L11" s="125"/>
      <c r="P11" s="213">
        <f>-H10</f>
        <v>-16800</v>
      </c>
    </row>
    <row r="12" spans="1:16" ht="15.75" x14ac:dyDescent="0.25">
      <c r="A12" s="65" t="s">
        <v>41</v>
      </c>
      <c r="B12" s="65"/>
      <c r="C12" s="77"/>
      <c r="D12" s="77"/>
      <c r="E12" s="204">
        <f>+E6-E10-E9</f>
        <v>946386.75543888472</v>
      </c>
      <c r="F12" s="73">
        <f>+E12/E6</f>
        <v>0.95638004960806366</v>
      </c>
      <c r="H12" s="204">
        <f>+H6-H10-H9</f>
        <v>518302.95543888467</v>
      </c>
      <c r="I12" s="73">
        <f>+H12/H6</f>
        <v>0.95601231841188394</v>
      </c>
      <c r="K12" s="204">
        <f>+K6-K10-K9</f>
        <v>428083.8</v>
      </c>
      <c r="L12" s="73">
        <f>+K12/K6</f>
        <v>0.95682565936522124</v>
      </c>
      <c r="P12" s="213">
        <f>-H23</f>
        <v>-464087.86370242224</v>
      </c>
    </row>
    <row r="13" spans="1:16" ht="15.75" x14ac:dyDescent="0.25">
      <c r="A13" s="65"/>
      <c r="B13" s="65"/>
      <c r="C13" s="77"/>
      <c r="D13" s="77"/>
      <c r="E13" s="205"/>
      <c r="F13" s="125"/>
      <c r="H13" s="205"/>
      <c r="I13" s="125"/>
      <c r="K13" s="205"/>
      <c r="L13" s="125"/>
    </row>
    <row r="14" spans="1:16" ht="15.75" x14ac:dyDescent="0.25">
      <c r="A14" s="65" t="s">
        <v>6</v>
      </c>
      <c r="C14" s="74"/>
      <c r="D14" s="74"/>
      <c r="E14" s="206"/>
      <c r="F14" s="76"/>
      <c r="H14" s="206"/>
      <c r="I14" s="76"/>
      <c r="K14" s="206"/>
      <c r="L14" s="76"/>
      <c r="P14" s="213">
        <f>SUM(P9:P13)</f>
        <v>54215.091736462433</v>
      </c>
    </row>
    <row r="15" spans="1:16" ht="15.75" x14ac:dyDescent="0.25">
      <c r="A15" s="92" t="s">
        <v>7</v>
      </c>
      <c r="C15" s="74">
        <v>0.05</v>
      </c>
      <c r="D15" s="74"/>
      <c r="E15" s="205">
        <f>+H15+K15</f>
        <v>4200</v>
      </c>
      <c r="F15" s="210">
        <f>+E15/E6</f>
        <v>4.2443495592783178E-3</v>
      </c>
      <c r="H15" s="206">
        <f>+' Niagara Falls Blvd 22 '!L35</f>
        <v>2600</v>
      </c>
      <c r="I15" s="210">
        <f>+H15/H6</f>
        <v>4.7957126267322431E-3</v>
      </c>
      <c r="J15" s="93" t="s">
        <v>46</v>
      </c>
      <c r="K15" s="206">
        <f>+'ReStore South 22'!L35</f>
        <v>1600</v>
      </c>
      <c r="L15" s="210">
        <f>+K15/K6</f>
        <v>3.5762181493071078E-3</v>
      </c>
      <c r="M15" s="93" t="s">
        <v>46</v>
      </c>
    </row>
    <row r="16" spans="1:16" ht="15.75" x14ac:dyDescent="0.25">
      <c r="A16" s="92"/>
      <c r="C16" s="74"/>
      <c r="D16" s="74"/>
      <c r="E16" s="206"/>
      <c r="F16" s="76"/>
      <c r="H16" s="206"/>
      <c r="I16" s="76"/>
      <c r="K16" s="206"/>
      <c r="L16" s="76"/>
    </row>
    <row r="17" spans="1:16" ht="15.75" x14ac:dyDescent="0.25">
      <c r="A17" s="92" t="s">
        <v>8</v>
      </c>
      <c r="C17" s="74">
        <v>0.15</v>
      </c>
      <c r="D17" s="74"/>
      <c r="E17" s="205">
        <f>+H17+K17</f>
        <v>248416.69</v>
      </c>
      <c r="F17" s="76">
        <f>E17/E6</f>
        <v>0.25103982588544727</v>
      </c>
      <c r="H17" s="206">
        <f>SUM(' Niagara Falls Blvd 22 '!L44:L53)</f>
        <v>222095.182</v>
      </c>
      <c r="I17" s="76">
        <f>H17/H6</f>
        <v>0.40965564178992137</v>
      </c>
      <c r="K17" s="206">
        <f>SUM('ReStore South 22'!L44:L53)</f>
        <v>26321.508000000002</v>
      </c>
      <c r="L17" s="76">
        <f>K17/K6</f>
        <v>5.8832159141707648E-2</v>
      </c>
    </row>
    <row r="18" spans="1:16" ht="15.75" x14ac:dyDescent="0.25">
      <c r="A18" s="92"/>
      <c r="C18" s="74"/>
      <c r="D18" s="74"/>
      <c r="E18" s="206"/>
      <c r="F18" s="76"/>
      <c r="H18" s="206"/>
      <c r="I18" s="76"/>
      <c r="K18" s="206"/>
      <c r="L18" s="76"/>
    </row>
    <row r="19" spans="1:16" ht="15.75" x14ac:dyDescent="0.25">
      <c r="A19" s="92" t="s">
        <v>9</v>
      </c>
      <c r="C19" s="74">
        <v>0.4</v>
      </c>
      <c r="D19" s="74"/>
      <c r="E19" s="205">
        <f>+H19+K19</f>
        <v>450340.36400484451</v>
      </c>
      <c r="F19" s="76">
        <f>E19/E6</f>
        <v>0.45509569654504733</v>
      </c>
      <c r="H19" s="206">
        <f>SUM(' Niagara Falls Blvd 22 '!L54:L62)</f>
        <v>225170.18200242225</v>
      </c>
      <c r="I19" s="76">
        <f>H19/H6</f>
        <v>0.41532749422792831</v>
      </c>
      <c r="K19" s="206">
        <f>SUM('ReStore South 22'!L54:L62)</f>
        <v>225170.18200242225</v>
      </c>
      <c r="L19" s="76">
        <f>K19/K6</f>
        <v>0.50328605722490449</v>
      </c>
    </row>
    <row r="20" spans="1:16" ht="15.75" x14ac:dyDescent="0.25">
      <c r="A20" s="92"/>
      <c r="C20" s="74"/>
      <c r="D20" s="74"/>
      <c r="E20" s="206"/>
      <c r="F20" s="76"/>
      <c r="H20" s="206"/>
      <c r="I20" s="76"/>
      <c r="K20" s="206"/>
      <c r="L20" s="76"/>
    </row>
    <row r="21" spans="1:16" ht="15.75" x14ac:dyDescent="0.25">
      <c r="A21" s="92" t="s">
        <v>10</v>
      </c>
      <c r="C21" s="77">
        <v>0.15</v>
      </c>
      <c r="D21" s="77"/>
      <c r="E21" s="208">
        <f>+H21+K21</f>
        <v>29444.999400000001</v>
      </c>
      <c r="F21" s="79">
        <f>+E21/E6</f>
        <v>2.9755921482461981E-2</v>
      </c>
      <c r="H21" s="208">
        <f>SUM(' Niagara Falls Blvd 22 '!L63:L77)</f>
        <v>14222.4997</v>
      </c>
      <c r="I21" s="79">
        <f>+H21/H6</f>
        <v>2.623346976730213E-2</v>
      </c>
      <c r="K21" s="208">
        <f>SUM('ReStore South 22'!L63:L77)</f>
        <v>15222.4997</v>
      </c>
      <c r="L21" s="79">
        <f>+K21/K6</f>
        <v>3.4024362315601249E-2</v>
      </c>
    </row>
    <row r="22" spans="1:16" ht="15.75" x14ac:dyDescent="0.25">
      <c r="A22" s="65"/>
      <c r="C22" s="77"/>
      <c r="D22" s="77"/>
      <c r="E22" s="206"/>
      <c r="F22" s="76"/>
      <c r="H22" s="206"/>
      <c r="I22" s="76"/>
      <c r="K22" s="206"/>
      <c r="L22" s="76"/>
    </row>
    <row r="23" spans="1:16" ht="16.5" thickBot="1" x14ac:dyDescent="0.3">
      <c r="A23" s="65" t="s">
        <v>11</v>
      </c>
      <c r="C23" s="77">
        <v>0.75</v>
      </c>
      <c r="D23" s="77"/>
      <c r="E23" s="209">
        <f>E15+E17+E19+E21</f>
        <v>732402.05340484448</v>
      </c>
      <c r="F23" s="80">
        <f>E23/E6</f>
        <v>0.7401357934722349</v>
      </c>
      <c r="H23" s="209">
        <f>H15+H17+H19+H21</f>
        <v>464087.86370242224</v>
      </c>
      <c r="I23" s="80">
        <f>H23/H6</f>
        <v>0.85601231841188408</v>
      </c>
      <c r="K23" s="209">
        <f>K15+K17+K19+K21</f>
        <v>268314.18970242224</v>
      </c>
      <c r="L23" s="80">
        <f>K23/K6</f>
        <v>0.59971879683152041</v>
      </c>
    </row>
    <row r="24" spans="1:16" ht="16.5" thickTop="1" x14ac:dyDescent="0.25">
      <c r="A24" s="65"/>
      <c r="B24" s="65"/>
      <c r="C24" s="77"/>
      <c r="D24" s="77"/>
      <c r="E24" s="75"/>
      <c r="F24" s="76"/>
      <c r="H24" s="75"/>
      <c r="I24" s="76"/>
      <c r="K24" s="75"/>
      <c r="L24" s="76"/>
    </row>
    <row r="25" spans="1:16" ht="15.75" x14ac:dyDescent="0.25">
      <c r="A25" s="65" t="s">
        <v>12</v>
      </c>
      <c r="B25" s="65"/>
      <c r="C25" s="77">
        <v>0.25</v>
      </c>
      <c r="D25" s="77"/>
      <c r="E25" s="206">
        <f>E12-E23</f>
        <v>213984.70203404024</v>
      </c>
      <c r="F25" s="76">
        <f>E25/E6</f>
        <v>0.21624425613582876</v>
      </c>
      <c r="H25" s="206">
        <f>+H6*(I25)</f>
        <v>54215.091736462484</v>
      </c>
      <c r="I25" s="74">
        <f>+J25*1%</f>
        <v>0.1</v>
      </c>
      <c r="J25" s="63">
        <v>10</v>
      </c>
      <c r="K25" s="206">
        <f>K12-K23</f>
        <v>159769.61029757775</v>
      </c>
      <c r="L25" s="76">
        <f>K25/K6</f>
        <v>0.35710686253370083</v>
      </c>
      <c r="O25" s="63" t="s">
        <v>185</v>
      </c>
      <c r="P25" s="76">
        <f>+H25/E6</f>
        <v>5.4787571599497167E-2</v>
      </c>
    </row>
    <row r="26" spans="1:16" ht="15.75" x14ac:dyDescent="0.25">
      <c r="A26" s="81"/>
      <c r="B26" s="81"/>
      <c r="O26" s="63" t="s">
        <v>186</v>
      </c>
      <c r="P26" s="76">
        <f>+K25/E6</f>
        <v>0.16145668453633158</v>
      </c>
    </row>
    <row r="27" spans="1:16" ht="16.5" thickBot="1" x14ac:dyDescent="0.3">
      <c r="A27" s="81" t="s">
        <v>13</v>
      </c>
      <c r="B27" s="81"/>
      <c r="C27" s="82"/>
      <c r="D27" s="82"/>
      <c r="E27" s="211">
        <f>+H27+K27</f>
        <v>26473</v>
      </c>
      <c r="F27" s="211"/>
      <c r="H27" s="211">
        <v>15000</v>
      </c>
      <c r="K27" s="211">
        <v>11473</v>
      </c>
      <c r="O27" s="63" t="s">
        <v>187</v>
      </c>
      <c r="P27" s="300">
        <f>SUM(P25:P26)</f>
        <v>0.21624425613582876</v>
      </c>
    </row>
    <row r="28" spans="1:16" ht="16.5" thickTop="1" x14ac:dyDescent="0.25">
      <c r="A28" s="81"/>
      <c r="B28" s="81"/>
    </row>
    <row r="29" spans="1:16" ht="15.75" x14ac:dyDescent="0.25">
      <c r="A29" s="81" t="s">
        <v>33</v>
      </c>
      <c r="B29" s="81"/>
      <c r="C29" s="83">
        <v>50</v>
      </c>
      <c r="D29" s="215"/>
      <c r="E29" s="84">
        <f>+E6/E27</f>
        <v>37.379628956469794</v>
      </c>
      <c r="F29" s="218"/>
      <c r="H29" s="84">
        <f>+H6/H27</f>
        <v>36.143394490974984</v>
      </c>
      <c r="K29" s="84">
        <f>+K6/K27</f>
        <v>38.995903425433625</v>
      </c>
    </row>
    <row r="30" spans="1:16" ht="15.75" x14ac:dyDescent="0.25">
      <c r="A30" s="81"/>
      <c r="B30" s="81"/>
      <c r="C30" s="82"/>
      <c r="D30" s="82"/>
    </row>
    <row r="31" spans="1:16" ht="15.75" x14ac:dyDescent="0.25">
      <c r="A31" s="85" t="s">
        <v>15</v>
      </c>
      <c r="B31" s="85"/>
      <c r="C31" s="86" t="s">
        <v>16</v>
      </c>
      <c r="D31" s="216"/>
      <c r="E31" s="75">
        <f>+E17/E27</f>
        <v>9.3837755448947977</v>
      </c>
      <c r="F31" s="75"/>
      <c r="G31" s="75"/>
      <c r="H31" s="75">
        <f>+H17/H27</f>
        <v>14.806345466666667</v>
      </c>
      <c r="I31" s="75"/>
      <c r="J31" s="75"/>
      <c r="K31" s="75">
        <f>+K17/K27</f>
        <v>2.2942131961997734</v>
      </c>
      <c r="L31" s="75"/>
    </row>
    <row r="32" spans="1:16" ht="15.75" x14ac:dyDescent="0.25">
      <c r="A32" s="81"/>
      <c r="B32" s="81"/>
      <c r="C32" s="81"/>
      <c r="D32" s="81"/>
      <c r="E32" s="81"/>
      <c r="F32" s="81"/>
    </row>
    <row r="33" spans="1:16" ht="15.75" x14ac:dyDescent="0.25">
      <c r="A33" s="81"/>
      <c r="B33" s="81"/>
      <c r="C33" s="81"/>
      <c r="D33" s="81"/>
      <c r="E33" s="81"/>
      <c r="F33" s="81"/>
    </row>
    <row r="34" spans="1:16" ht="16.5" thickBot="1" x14ac:dyDescent="0.3">
      <c r="A34" s="87" t="s">
        <v>17</v>
      </c>
      <c r="B34" s="87"/>
      <c r="C34" s="87"/>
      <c r="D34" s="87"/>
      <c r="E34" s="87"/>
      <c r="F34" s="87"/>
      <c r="G34" s="88"/>
      <c r="H34" s="88"/>
      <c r="I34" s="88"/>
      <c r="J34" s="89"/>
      <c r="K34" s="90"/>
      <c r="L34" s="89"/>
      <c r="M34" s="88"/>
      <c r="N34" s="88"/>
      <c r="O34" s="88"/>
      <c r="P34" s="88"/>
    </row>
    <row r="35" spans="1:16" ht="16.5" thickBot="1" x14ac:dyDescent="0.3">
      <c r="A35" s="82" t="s">
        <v>18</v>
      </c>
      <c r="H35" s="94" t="s">
        <v>34</v>
      </c>
      <c r="K35" s="94" t="s">
        <v>34</v>
      </c>
    </row>
    <row r="36" spans="1:16" ht="15.75" x14ac:dyDescent="0.25">
      <c r="A36" s="82"/>
      <c r="B36" s="63" t="s">
        <v>19</v>
      </c>
      <c r="C36" s="75">
        <v>60000</v>
      </c>
      <c r="D36" s="75"/>
      <c r="E36" s="75"/>
      <c r="F36" s="75"/>
      <c r="H36" s="320">
        <v>0.5</v>
      </c>
      <c r="K36" s="320">
        <v>0.5</v>
      </c>
    </row>
    <row r="37" spans="1:16" ht="15.75" x14ac:dyDescent="0.25">
      <c r="A37" s="82"/>
      <c r="B37" s="63" t="s">
        <v>20</v>
      </c>
      <c r="C37" s="75">
        <f>C36*0.25</f>
        <v>15000</v>
      </c>
      <c r="D37" s="75"/>
      <c r="E37" s="75"/>
      <c r="F37" s="75"/>
      <c r="H37" s="320"/>
      <c r="I37" s="93"/>
      <c r="K37" s="320"/>
    </row>
    <row r="38" spans="1:16" ht="15.75" x14ac:dyDescent="0.25">
      <c r="A38" s="82"/>
      <c r="B38" s="63" t="s">
        <v>21</v>
      </c>
      <c r="C38" s="75">
        <f>C36*0.05</f>
        <v>3000</v>
      </c>
      <c r="D38" s="75"/>
      <c r="E38" s="75"/>
      <c r="F38" s="75"/>
      <c r="H38" s="320"/>
      <c r="K38" s="320"/>
    </row>
    <row r="39" spans="1:16" ht="15.75" x14ac:dyDescent="0.25">
      <c r="A39" s="82"/>
      <c r="C39" s="72">
        <f>SUM(C36:C38)</f>
        <v>78000</v>
      </c>
      <c r="D39" s="124"/>
      <c r="E39" s="124"/>
      <c r="F39" s="124"/>
      <c r="H39" s="95">
        <f>$C$39*H36</f>
        <v>39000</v>
      </c>
      <c r="K39" s="95">
        <f>$C$39*K36</f>
        <v>39000</v>
      </c>
    </row>
    <row r="40" spans="1:16" ht="15.75" x14ac:dyDescent="0.25">
      <c r="A40" s="82" t="s">
        <v>22</v>
      </c>
      <c r="C40" s="75"/>
      <c r="D40" s="75"/>
      <c r="E40" s="75"/>
      <c r="F40" s="75"/>
    </row>
    <row r="41" spans="1:16" ht="15.75" x14ac:dyDescent="0.25">
      <c r="A41" s="82"/>
      <c r="B41" s="63" t="s">
        <v>19</v>
      </c>
      <c r="C41" s="75">
        <v>45000</v>
      </c>
      <c r="D41" s="75"/>
      <c r="E41" s="75"/>
      <c r="F41" s="75"/>
      <c r="H41" s="320">
        <v>1</v>
      </c>
      <c r="K41" s="320">
        <v>1</v>
      </c>
    </row>
    <row r="42" spans="1:16" ht="15.75" x14ac:dyDescent="0.25">
      <c r="A42" s="82"/>
      <c r="B42" s="63" t="s">
        <v>20</v>
      </c>
      <c r="C42" s="75">
        <f>C41*0.25</f>
        <v>11250</v>
      </c>
      <c r="D42" s="75"/>
      <c r="E42" s="75"/>
      <c r="F42" s="75"/>
      <c r="H42" s="320"/>
      <c r="K42" s="320"/>
    </row>
    <row r="43" spans="1:16" ht="15.75" x14ac:dyDescent="0.25">
      <c r="A43" s="82"/>
      <c r="B43" s="63" t="s">
        <v>21</v>
      </c>
      <c r="C43" s="75">
        <f>C41*0.05</f>
        <v>2250</v>
      </c>
      <c r="D43" s="75"/>
      <c r="E43" s="75"/>
      <c r="F43" s="75"/>
      <c r="H43" s="320"/>
      <c r="K43" s="320"/>
    </row>
    <row r="44" spans="1:16" ht="15.75" x14ac:dyDescent="0.25">
      <c r="A44" s="82"/>
      <c r="C44" s="72">
        <f>SUM(C41:C43)</f>
        <v>58500</v>
      </c>
      <c r="D44" s="124"/>
      <c r="E44" s="124"/>
      <c r="F44" s="124"/>
      <c r="H44" s="95">
        <f>$C$44*H41</f>
        <v>58500</v>
      </c>
      <c r="K44" s="95">
        <f>$C$44*K41</f>
        <v>58500</v>
      </c>
    </row>
    <row r="45" spans="1:16" ht="15.75" x14ac:dyDescent="0.25">
      <c r="A45" s="82" t="s">
        <v>23</v>
      </c>
      <c r="C45" s="75"/>
      <c r="D45" s="75"/>
      <c r="E45" s="75"/>
      <c r="F45" s="75"/>
    </row>
    <row r="46" spans="1:16" ht="15.75" x14ac:dyDescent="0.25">
      <c r="A46" s="82"/>
      <c r="B46" s="63" t="s">
        <v>19</v>
      </c>
      <c r="C46" s="75">
        <v>35000</v>
      </c>
      <c r="D46" s="75"/>
      <c r="E46" s="75"/>
      <c r="F46" s="75"/>
      <c r="H46" s="319">
        <v>3</v>
      </c>
      <c r="K46" s="320">
        <v>3</v>
      </c>
    </row>
    <row r="47" spans="1:16" ht="15" customHeight="1" x14ac:dyDescent="0.2">
      <c r="B47" s="63" t="s">
        <v>20</v>
      </c>
      <c r="C47" s="75">
        <f>C46*0.25</f>
        <v>8750</v>
      </c>
      <c r="D47" s="75"/>
      <c r="E47" s="75"/>
      <c r="F47" s="75"/>
      <c r="H47" s="319"/>
      <c r="I47" s="93"/>
      <c r="K47" s="320"/>
    </row>
    <row r="48" spans="1:16" ht="15" customHeight="1" x14ac:dyDescent="0.2">
      <c r="B48" s="63" t="s">
        <v>21</v>
      </c>
      <c r="C48" s="75">
        <f>C46*0.05</f>
        <v>1750</v>
      </c>
      <c r="D48" s="75"/>
      <c r="E48" s="75"/>
      <c r="F48" s="75"/>
      <c r="H48" s="319"/>
      <c r="K48" s="320"/>
    </row>
    <row r="49" spans="1:11" x14ac:dyDescent="0.2">
      <c r="C49" s="72">
        <f>SUM(C46:C48)</f>
        <v>45500</v>
      </c>
      <c r="D49" s="124"/>
      <c r="E49" s="124"/>
      <c r="F49" s="124"/>
      <c r="H49" s="95">
        <f>$C$49*H46</f>
        <v>136500</v>
      </c>
      <c r="K49" s="95">
        <f>$C$49*K46</f>
        <v>136500</v>
      </c>
    </row>
    <row r="50" spans="1:11" ht="15.75" x14ac:dyDescent="0.25">
      <c r="A50" s="81" t="s">
        <v>24</v>
      </c>
      <c r="B50" s="81"/>
      <c r="C50" s="75"/>
      <c r="D50" s="75"/>
      <c r="E50" s="75"/>
      <c r="F50" s="75"/>
    </row>
    <row r="51" spans="1:11" ht="15.75" x14ac:dyDescent="0.25">
      <c r="A51" s="81"/>
      <c r="B51" s="91" t="s">
        <v>19</v>
      </c>
      <c r="C51" s="75">
        <v>40000</v>
      </c>
      <c r="D51" s="75"/>
      <c r="E51" s="75"/>
      <c r="F51" s="75"/>
      <c r="H51" s="320">
        <v>0.5</v>
      </c>
      <c r="K51" s="320">
        <v>0.5</v>
      </c>
    </row>
    <row r="52" spans="1:11" ht="15.75" x14ac:dyDescent="0.25">
      <c r="A52" s="81"/>
      <c r="B52" s="91" t="s">
        <v>20</v>
      </c>
      <c r="C52" s="75">
        <f>C51*0.25</f>
        <v>10000</v>
      </c>
      <c r="D52" s="75"/>
      <c r="E52" s="75"/>
      <c r="F52" s="75"/>
      <c r="H52" s="320"/>
      <c r="K52" s="320"/>
    </row>
    <row r="53" spans="1:11" ht="15.75" x14ac:dyDescent="0.25">
      <c r="A53" s="81"/>
      <c r="B53" s="91" t="s">
        <v>21</v>
      </c>
      <c r="C53" s="78">
        <f>C51*0.05</f>
        <v>2000</v>
      </c>
      <c r="D53" s="124"/>
      <c r="E53" s="124"/>
      <c r="F53" s="124"/>
      <c r="H53" s="320"/>
      <c r="K53" s="320"/>
    </row>
    <row r="54" spans="1:11" ht="15.75" x14ac:dyDescent="0.25">
      <c r="A54" s="81"/>
      <c r="B54" s="81"/>
      <c r="C54" s="75">
        <f>C51+C52+C53</f>
        <v>52000</v>
      </c>
      <c r="D54" s="75"/>
      <c r="E54" s="75"/>
      <c r="F54" s="75"/>
      <c r="H54" s="95">
        <f>$C$54*H51</f>
        <v>26000</v>
      </c>
      <c r="K54" s="95">
        <f>$C$54*K51</f>
        <v>26000</v>
      </c>
    </row>
    <row r="56" spans="1:11" ht="15.75" x14ac:dyDescent="0.25">
      <c r="A56" s="82" t="s">
        <v>151</v>
      </c>
      <c r="H56" s="213">
        <f>+H19-260000</f>
        <v>-34829.817997577746</v>
      </c>
      <c r="K56" s="213">
        <f>+K19-260000</f>
        <v>-34829.817997577746</v>
      </c>
    </row>
    <row r="57" spans="1:11" x14ac:dyDescent="0.2">
      <c r="H57" s="213"/>
      <c r="K57" s="213"/>
    </row>
    <row r="58" spans="1:11" x14ac:dyDescent="0.2">
      <c r="H58" s="213"/>
      <c r="K58" s="213"/>
    </row>
    <row r="59" spans="1:11" ht="16.5" thickBot="1" x14ac:dyDescent="0.3">
      <c r="A59" s="212" t="str">
        <f>+A19</f>
        <v>Payroll Salary &amp; Wages</v>
      </c>
      <c r="H59" s="214">
        <f>+H39+H44+H49+H54+H56</f>
        <v>225170.18200242225</v>
      </c>
      <c r="K59" s="214">
        <f>+K39+K44+K49+K54+K56</f>
        <v>225170.18200242225</v>
      </c>
    </row>
    <row r="60" spans="1:11" ht="15.75" thickTop="1" x14ac:dyDescent="0.2"/>
  </sheetData>
  <mergeCells count="11">
    <mergeCell ref="H46:H48"/>
    <mergeCell ref="K46:K48"/>
    <mergeCell ref="H51:H53"/>
    <mergeCell ref="K51:K53"/>
    <mergeCell ref="E4:F4"/>
    <mergeCell ref="H4:I4"/>
    <mergeCell ref="K4:L4"/>
    <mergeCell ref="H36:H38"/>
    <mergeCell ref="K36:K38"/>
    <mergeCell ref="H41:H43"/>
    <mergeCell ref="K41:K43"/>
  </mergeCells>
  <pageMargins left="0.7" right="0.7" top="0.75" bottom="0.75" header="0.3" footer="0.3"/>
  <pageSetup scale="56" orientation="landscape" horizontalDpi="0" verticalDpi="0"/>
  <headerFooter>
    <oddFooter>&amp;L&amp;"Calibri,Regular"&amp;K000000&amp;D&amp;R&amp;"Calibri,Regular"&amp;K000000&amp;F&amp;A</oddFooter>
  </headerFooter>
  <colBreaks count="1" manualBreakCount="1">
    <brk id="14" max="46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3" name="Spinner 3">
              <controlPr defaultSize="0" autoPict="0">
                <anchor moveWithCells="1" sizeWithCells="1">
                  <from>
                    <xdr:col>9</xdr:col>
                    <xdr:colOff>28575</xdr:colOff>
                    <xdr:row>24</xdr:row>
                    <xdr:rowOff>28575</xdr:rowOff>
                  </from>
                  <to>
                    <xdr:col>10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R60"/>
  <sheetViews>
    <sheetView zoomScaleNormal="100" zoomScaleSheetLayoutView="100" workbookViewId="0">
      <selection activeCell="E23" sqref="E23"/>
    </sheetView>
  </sheetViews>
  <sheetFormatPr defaultColWidth="9.140625" defaultRowHeight="15" x14ac:dyDescent="0.2"/>
  <cols>
    <col min="1" max="1" width="28.7109375" style="63" customWidth="1"/>
    <col min="2" max="2" width="11.42578125" style="63" customWidth="1"/>
    <col min="3" max="3" width="16.7109375" style="63" bestFit="1" customWidth="1"/>
    <col min="4" max="4" width="4.28515625" style="63" customWidth="1"/>
    <col min="5" max="5" width="16.7109375" style="63" customWidth="1"/>
    <col min="6" max="6" width="15" style="63" hidden="1" customWidth="1"/>
    <col min="7" max="7" width="7.85546875" style="63" customWidth="1"/>
    <col min="8" max="8" width="17.42578125" style="63" bestFit="1" customWidth="1"/>
    <col min="9" max="9" width="16.7109375" style="63" bestFit="1" customWidth="1"/>
    <col min="10" max="10" width="7.85546875" style="63" customWidth="1"/>
    <col min="11" max="11" width="16.42578125" style="63" customWidth="1"/>
    <col min="12" max="12" width="16.7109375" style="63" bestFit="1" customWidth="1"/>
    <col min="13" max="13" width="9.140625" style="63"/>
    <col min="14" max="14" width="0.85546875" style="63" customWidth="1"/>
    <col min="15" max="15" width="9.140625" style="63"/>
    <col min="16" max="16" width="11.85546875" style="63" bestFit="1" customWidth="1"/>
    <col min="17" max="17" width="9.140625" style="63"/>
    <col min="18" max="18" width="11.85546875" style="63" bestFit="1" customWidth="1"/>
    <col min="19" max="16384" width="9.140625" style="63"/>
  </cols>
  <sheetData>
    <row r="1" spans="1:18" x14ac:dyDescent="0.2">
      <c r="E1" s="74"/>
    </row>
    <row r="2" spans="1:18" ht="15.75" thickBot="1" x14ac:dyDescent="0.25"/>
    <row r="3" spans="1:18" s="282" customFormat="1" ht="21" thickBot="1" x14ac:dyDescent="0.35">
      <c r="D3" s="283"/>
      <c r="E3" s="323" t="s">
        <v>183</v>
      </c>
      <c r="F3" s="324"/>
      <c r="G3" s="324"/>
      <c r="H3" s="324"/>
      <c r="I3" s="324"/>
      <c r="J3" s="324"/>
      <c r="K3" s="324"/>
      <c r="L3" s="325"/>
    </row>
    <row r="4" spans="1:18" s="236" customFormat="1" ht="18" x14ac:dyDescent="0.25">
      <c r="A4" s="232"/>
      <c r="B4" s="233"/>
      <c r="C4" s="234" t="s">
        <v>0</v>
      </c>
      <c r="D4" s="235"/>
      <c r="E4" s="322" t="s">
        <v>182</v>
      </c>
      <c r="F4" s="322"/>
      <c r="H4" s="326" t="s">
        <v>178</v>
      </c>
      <c r="I4" s="326"/>
      <c r="K4" s="326" t="s">
        <v>153</v>
      </c>
      <c r="L4" s="326"/>
    </row>
    <row r="5" spans="1:18" ht="15.75" x14ac:dyDescent="0.25">
      <c r="A5" s="67"/>
      <c r="B5" s="67"/>
      <c r="C5" s="68" t="s">
        <v>3</v>
      </c>
      <c r="D5" s="217"/>
      <c r="E5" s="69" t="s">
        <v>26</v>
      </c>
      <c r="F5" s="70" t="s">
        <v>3</v>
      </c>
      <c r="H5" s="69" t="s">
        <v>26</v>
      </c>
      <c r="I5" s="70" t="s">
        <v>3</v>
      </c>
      <c r="K5" s="69" t="s">
        <v>26</v>
      </c>
      <c r="L5" s="70" t="s">
        <v>3</v>
      </c>
    </row>
    <row r="6" spans="1:18" ht="15.75" x14ac:dyDescent="0.25">
      <c r="A6" s="65" t="s">
        <v>5</v>
      </c>
      <c r="B6" s="65"/>
      <c r="C6" s="71">
        <v>1</v>
      </c>
      <c r="D6" s="77"/>
      <c r="E6" s="204">
        <f>+H6-K6</f>
        <v>171850.91736462479</v>
      </c>
      <c r="F6" s="73">
        <f>+I6-L6</f>
        <v>0</v>
      </c>
      <c r="H6" s="204">
        <f>+'Niagara Falls &amp; South Consol'!H6</f>
        <v>542150.91736462479</v>
      </c>
      <c r="I6" s="73">
        <f>H6/H6</f>
        <v>1</v>
      </c>
      <c r="K6" s="204">
        <f>+'ReStore North 22'!L10</f>
        <v>370300</v>
      </c>
      <c r="L6" s="73">
        <f>K6/K6</f>
        <v>1</v>
      </c>
      <c r="N6" s="213">
        <f>+H6-H10-H23</f>
        <v>61263.053662202554</v>
      </c>
    </row>
    <row r="7" spans="1:18" ht="15.75" x14ac:dyDescent="0.25">
      <c r="A7" s="65"/>
      <c r="B7" s="65"/>
      <c r="C7" s="77"/>
      <c r="D7" s="77"/>
      <c r="E7" s="205"/>
      <c r="F7" s="125"/>
      <c r="H7" s="205"/>
      <c r="I7" s="125"/>
      <c r="K7" s="205"/>
      <c r="L7" s="125"/>
      <c r="N7" s="213"/>
    </row>
    <row r="8" spans="1:18" ht="15.75" x14ac:dyDescent="0.25">
      <c r="A8" s="65"/>
      <c r="B8" s="65"/>
      <c r="C8" s="77"/>
      <c r="D8" s="77"/>
      <c r="E8" s="205"/>
      <c r="F8" s="125"/>
      <c r="H8" s="205"/>
      <c r="I8" s="125"/>
      <c r="K8" s="205"/>
      <c r="L8" s="125"/>
      <c r="N8" s="213"/>
    </row>
    <row r="9" spans="1:18" ht="15.75" x14ac:dyDescent="0.25">
      <c r="A9" s="65" t="s">
        <v>155</v>
      </c>
      <c r="B9" s="65"/>
      <c r="C9" s="77"/>
      <c r="D9" s="77"/>
      <c r="E9" s="205">
        <f>+H9-K9</f>
        <v>2234.0619257401213</v>
      </c>
      <c r="F9" s="125">
        <f>+I9-L9</f>
        <v>0</v>
      </c>
      <c r="H9" s="205">
        <f>+'Niagara Falls &amp; South Consol'!H9</f>
        <v>7047.9619257401218</v>
      </c>
      <c r="I9" s="125">
        <f>+H9/H6</f>
        <v>1.2999999999999999E-2</v>
      </c>
      <c r="K9" s="205">
        <f>+'ReStore North 22'!L28</f>
        <v>4813.9000000000005</v>
      </c>
      <c r="L9" s="125">
        <f>+K9/K6</f>
        <v>1.3000000000000001E-2</v>
      </c>
    </row>
    <row r="10" spans="1:18" ht="15.75" x14ac:dyDescent="0.25">
      <c r="A10" s="65" t="s">
        <v>43</v>
      </c>
      <c r="B10" s="65"/>
      <c r="C10" s="77"/>
      <c r="D10" s="77"/>
      <c r="E10" s="205">
        <f>+H10-K10</f>
        <v>1500</v>
      </c>
      <c r="F10" s="125">
        <f>+I10-L10</f>
        <v>-1.033016880345837E-2</v>
      </c>
      <c r="H10" s="205">
        <f>+'Niagara Falls &amp; South Consol'!H10</f>
        <v>16800</v>
      </c>
      <c r="I10" s="228">
        <f>+H10/H6</f>
        <v>3.0987681588116031E-2</v>
      </c>
      <c r="K10" s="205">
        <f>+'ReStore North 22'!L29+'ReStore North 22'!L30-'ReStore North 22'!L16-'ReStore North 22'!L18</f>
        <v>15300</v>
      </c>
      <c r="L10" s="125">
        <f>+K10/K6</f>
        <v>4.1317850391574401E-2</v>
      </c>
    </row>
    <row r="11" spans="1:18" ht="15.75" x14ac:dyDescent="0.25">
      <c r="A11" s="65"/>
      <c r="B11" s="65"/>
      <c r="C11" s="77"/>
      <c r="D11" s="77"/>
      <c r="E11" s="205"/>
      <c r="F11" s="125"/>
      <c r="H11" s="205"/>
      <c r="I11" s="125"/>
      <c r="K11" s="205"/>
      <c r="L11" s="125"/>
      <c r="P11" s="213">
        <f>+H6</f>
        <v>542150.91736462479</v>
      </c>
      <c r="R11" s="213">
        <f>+K6</f>
        <v>370300</v>
      </c>
    </row>
    <row r="12" spans="1:18" ht="15.75" x14ac:dyDescent="0.25">
      <c r="A12" s="65" t="s">
        <v>41</v>
      </c>
      <c r="B12" s="65"/>
      <c r="C12" s="77"/>
      <c r="D12" s="77"/>
      <c r="E12" s="204">
        <f>+E6-E10</f>
        <v>170350.91736462479</v>
      </c>
      <c r="F12" s="73">
        <f>+I12-L12</f>
        <v>1.0330168803458384E-2</v>
      </c>
      <c r="H12" s="204">
        <f>+H6-H10-H9</f>
        <v>518302.95543888467</v>
      </c>
      <c r="I12" s="73">
        <f>+H12/H6</f>
        <v>0.95601231841188394</v>
      </c>
      <c r="K12" s="204">
        <f>+K6-K10-K9</f>
        <v>350186.1</v>
      </c>
      <c r="L12" s="73">
        <f>+K12/K6</f>
        <v>0.94568214960842556</v>
      </c>
      <c r="P12" s="213">
        <f>-H9</f>
        <v>-7047.9619257401218</v>
      </c>
      <c r="R12" s="213">
        <f>-K9</f>
        <v>-4813.9000000000005</v>
      </c>
    </row>
    <row r="13" spans="1:18" ht="15.75" x14ac:dyDescent="0.25">
      <c r="A13" s="65"/>
      <c r="B13" s="65"/>
      <c r="C13" s="77"/>
      <c r="D13" s="77"/>
      <c r="E13" s="205"/>
      <c r="F13" s="125"/>
      <c r="H13" s="205"/>
      <c r="I13" s="125"/>
      <c r="K13" s="205"/>
      <c r="L13" s="125"/>
      <c r="P13" s="213">
        <f>-H10</f>
        <v>-16800</v>
      </c>
      <c r="R13" s="213">
        <f>-K10</f>
        <v>-15300</v>
      </c>
    </row>
    <row r="14" spans="1:18" ht="15.75" x14ac:dyDescent="0.25">
      <c r="A14" s="65" t="s">
        <v>6</v>
      </c>
      <c r="C14" s="74"/>
      <c r="D14" s="74"/>
      <c r="E14" s="206"/>
      <c r="F14" s="76"/>
      <c r="H14" s="206"/>
      <c r="I14" s="76"/>
      <c r="K14" s="206"/>
      <c r="L14" s="76"/>
      <c r="P14" s="213">
        <f>-H23</f>
        <v>-464087.86370242224</v>
      </c>
      <c r="Q14" s="74">
        <f>+P15/P11</f>
        <v>9.9999999999999908E-2</v>
      </c>
      <c r="R14" s="213">
        <f>-K23</f>
        <v>-312836.66370242223</v>
      </c>
    </row>
    <row r="15" spans="1:18" ht="16.5" thickBot="1" x14ac:dyDescent="0.3">
      <c r="A15" s="92" t="s">
        <v>7</v>
      </c>
      <c r="C15" s="74">
        <v>0.05</v>
      </c>
      <c r="D15" s="74"/>
      <c r="E15" s="205">
        <f>+H15-K15</f>
        <v>1000</v>
      </c>
      <c r="F15" s="210">
        <f>+I15-L15</f>
        <v>4.7489167075060682E-4</v>
      </c>
      <c r="H15" s="206">
        <f>+'Niagara Falls &amp; South Consol'!H15</f>
        <v>2600</v>
      </c>
      <c r="I15" s="210">
        <f>+H15/H6</f>
        <v>4.7957126267322431E-3</v>
      </c>
      <c r="J15" s="93" t="s">
        <v>46</v>
      </c>
      <c r="K15" s="206">
        <f>+'ReStore North 22'!L35</f>
        <v>1600</v>
      </c>
      <c r="L15" s="210">
        <f>+K15/K6</f>
        <v>4.3208209559816363E-3</v>
      </c>
      <c r="M15" s="93" t="s">
        <v>46</v>
      </c>
      <c r="P15" s="214">
        <f>SUM(P11:P14)</f>
        <v>54215.091736462433</v>
      </c>
      <c r="R15" s="214">
        <f>SUM(R11:R14)</f>
        <v>37349.436297577748</v>
      </c>
    </row>
    <row r="16" spans="1:18" ht="16.5" thickTop="1" x14ac:dyDescent="0.25">
      <c r="A16" s="92"/>
      <c r="C16" s="74"/>
      <c r="D16" s="74"/>
      <c r="E16" s="206"/>
      <c r="F16" s="76"/>
      <c r="H16" s="206"/>
      <c r="I16" s="76"/>
      <c r="K16" s="206"/>
      <c r="L16" s="76"/>
    </row>
    <row r="17" spans="1:12" ht="15.75" x14ac:dyDescent="0.25">
      <c r="A17" s="92" t="s">
        <v>8</v>
      </c>
      <c r="C17" s="74">
        <v>0.15</v>
      </c>
      <c r="D17" s="74"/>
      <c r="E17" s="205">
        <f>+H17-K17</f>
        <v>150251.20000000001</v>
      </c>
      <c r="F17" s="76">
        <f>+I17-L17</f>
        <v>0.21564002742319169</v>
      </c>
      <c r="H17" s="206">
        <f>+'Niagara Falls &amp; South Consol'!H17</f>
        <v>222095.182</v>
      </c>
      <c r="I17" s="76">
        <f>H17/H6</f>
        <v>0.40965564178992137</v>
      </c>
      <c r="K17" s="206">
        <f>SUM('ReStore North 22'!L44:L53)</f>
        <v>71843.982000000004</v>
      </c>
      <c r="L17" s="76">
        <f>K17/K6</f>
        <v>0.19401561436672968</v>
      </c>
    </row>
    <row r="18" spans="1:12" ht="15.75" x14ac:dyDescent="0.25">
      <c r="A18" s="92"/>
      <c r="C18" s="74"/>
      <c r="D18" s="74"/>
      <c r="E18" s="206"/>
      <c r="F18" s="76"/>
      <c r="H18" s="206"/>
      <c r="I18" s="76"/>
      <c r="K18" s="206"/>
      <c r="L18" s="76"/>
    </row>
    <row r="19" spans="1:12" ht="15.75" x14ac:dyDescent="0.25">
      <c r="A19" s="92" t="s">
        <v>9</v>
      </c>
      <c r="C19" s="74">
        <v>0.4</v>
      </c>
      <c r="D19" s="74"/>
      <c r="E19" s="205">
        <f>+H19-K19</f>
        <v>0</v>
      </c>
      <c r="F19" s="76">
        <f>+I19-L19</f>
        <v>-0.1927475314334875</v>
      </c>
      <c r="H19" s="206">
        <f>+'Niagara Falls &amp; South Consol'!H19</f>
        <v>225170.18200242225</v>
      </c>
      <c r="I19" s="76">
        <f>H19/H6</f>
        <v>0.41532749422792831</v>
      </c>
      <c r="K19" s="206">
        <f>SUM('ReStore North 22'!L54:L62)</f>
        <v>225170.18200242225</v>
      </c>
      <c r="L19" s="76">
        <f>K19/K6</f>
        <v>0.6080750256614158</v>
      </c>
    </row>
    <row r="20" spans="1:12" ht="15.75" x14ac:dyDescent="0.25">
      <c r="A20" s="92"/>
      <c r="C20" s="74"/>
      <c r="D20" s="74"/>
      <c r="E20" s="206"/>
      <c r="F20" s="76"/>
      <c r="H20" s="206"/>
      <c r="I20" s="76"/>
      <c r="K20" s="206"/>
      <c r="L20" s="76"/>
    </row>
    <row r="21" spans="1:12" ht="15.75" x14ac:dyDescent="0.25">
      <c r="A21" s="92" t="s">
        <v>10</v>
      </c>
      <c r="C21" s="77">
        <v>0.15</v>
      </c>
      <c r="D21" s="77"/>
      <c r="E21" s="208">
        <f>+H21-K21</f>
        <v>0</v>
      </c>
      <c r="F21" s="79">
        <f>+I21-L21</f>
        <v>-1.2174576951574454E-2</v>
      </c>
      <c r="H21" s="208">
        <f>+'Niagara Falls &amp; South Consol'!H21</f>
        <v>14222.4997</v>
      </c>
      <c r="I21" s="79">
        <f>+H21/H6</f>
        <v>2.623346976730213E-2</v>
      </c>
      <c r="K21" s="208">
        <f>SUM('ReStore North 22'!L63:L77)</f>
        <v>14222.4997</v>
      </c>
      <c r="L21" s="79">
        <f>+K21/K6</f>
        <v>3.8408046718876585E-2</v>
      </c>
    </row>
    <row r="22" spans="1:12" ht="15.75" x14ac:dyDescent="0.25">
      <c r="A22" s="65"/>
      <c r="C22" s="77"/>
      <c r="D22" s="77"/>
      <c r="E22" s="206"/>
      <c r="F22" s="76"/>
      <c r="H22" s="206"/>
      <c r="I22" s="76"/>
      <c r="K22" s="206"/>
      <c r="L22" s="76"/>
    </row>
    <row r="23" spans="1:12" ht="16.5" thickBot="1" x14ac:dyDescent="0.3">
      <c r="A23" s="65" t="s">
        <v>11</v>
      </c>
      <c r="C23" s="77">
        <v>0.75</v>
      </c>
      <c r="D23" s="77"/>
      <c r="E23" s="209">
        <f>E15+E17+E19+E21</f>
        <v>151251.20000000001</v>
      </c>
      <c r="F23" s="80">
        <f>+I23-L23</f>
        <v>1.1192810708880452E-2</v>
      </c>
      <c r="H23" s="209">
        <f>H15+H17+H19+H21</f>
        <v>464087.86370242224</v>
      </c>
      <c r="I23" s="80">
        <f>H23/H6</f>
        <v>0.85601231841188408</v>
      </c>
      <c r="K23" s="209">
        <f>K15+K17+K19+K21</f>
        <v>312836.66370242223</v>
      </c>
      <c r="L23" s="80">
        <f>K23/K6</f>
        <v>0.84481950770300362</v>
      </c>
    </row>
    <row r="24" spans="1:12" ht="16.5" thickTop="1" x14ac:dyDescent="0.25">
      <c r="A24" s="65"/>
      <c r="B24" s="65"/>
      <c r="C24" s="77"/>
      <c r="D24" s="77"/>
      <c r="E24" s="75"/>
      <c r="F24" s="76"/>
      <c r="H24" s="75"/>
      <c r="I24" s="76"/>
      <c r="K24" s="75"/>
      <c r="L24" s="76"/>
    </row>
    <row r="25" spans="1:12" ht="15.75" x14ac:dyDescent="0.25">
      <c r="A25" s="65" t="s">
        <v>12</v>
      </c>
      <c r="B25" s="65"/>
      <c r="C25" s="77">
        <v>0.25</v>
      </c>
      <c r="D25" s="77"/>
      <c r="E25" s="206">
        <f>+H25-K25</f>
        <v>16865.655438884736</v>
      </c>
      <c r="F25" s="76">
        <f>+I25-L25</f>
        <v>-8.6264190542194308E-4</v>
      </c>
      <c r="H25" s="206">
        <f>+'Niagara Falls &amp; South Consol'!H25</f>
        <v>54215.091736462484</v>
      </c>
      <c r="I25" s="74">
        <f>+'Niagara Falls &amp; South Consol'!I25</f>
        <v>0.1</v>
      </c>
      <c r="K25" s="206">
        <f>K12-K23</f>
        <v>37349.436297577748</v>
      </c>
      <c r="L25" s="76">
        <f>K25/K6</f>
        <v>0.10086264190542195</v>
      </c>
    </row>
    <row r="26" spans="1:12" ht="15.75" x14ac:dyDescent="0.25">
      <c r="A26" s="81"/>
      <c r="B26" s="81"/>
    </row>
    <row r="27" spans="1:12" ht="15.75" x14ac:dyDescent="0.25">
      <c r="A27" s="81" t="s">
        <v>13</v>
      </c>
      <c r="B27" s="81"/>
      <c r="C27" s="82"/>
      <c r="D27" s="82"/>
      <c r="E27" s="211">
        <f>+H27-K27</f>
        <v>5230</v>
      </c>
      <c r="F27" s="211"/>
      <c r="H27" s="211">
        <v>15000</v>
      </c>
      <c r="K27" s="211">
        <v>9770</v>
      </c>
    </row>
    <row r="28" spans="1:12" ht="15.75" x14ac:dyDescent="0.25">
      <c r="A28" s="81"/>
      <c r="B28" s="81"/>
    </row>
    <row r="29" spans="1:12" ht="15.75" x14ac:dyDescent="0.25">
      <c r="A29" s="81" t="s">
        <v>33</v>
      </c>
      <c r="B29" s="81"/>
      <c r="C29" s="83">
        <v>50</v>
      </c>
      <c r="D29" s="215"/>
      <c r="E29" s="84">
        <f>+H29-K29</f>
        <v>-1.856605509025016</v>
      </c>
      <c r="F29" s="218"/>
      <c r="H29" s="84">
        <f>+H6/H27</f>
        <v>36.143394490974984</v>
      </c>
      <c r="K29" s="84">
        <v>38</v>
      </c>
    </row>
    <row r="30" spans="1:12" ht="15.75" x14ac:dyDescent="0.25">
      <c r="A30" s="81"/>
      <c r="B30" s="81"/>
      <c r="C30" s="82"/>
      <c r="D30" s="82"/>
    </row>
    <row r="31" spans="1:12" ht="15.75" x14ac:dyDescent="0.25">
      <c r="A31" s="85" t="s">
        <v>15</v>
      </c>
      <c r="B31" s="85"/>
      <c r="C31" s="86" t="s">
        <v>16</v>
      </c>
      <c r="D31" s="216"/>
      <c r="E31" s="75">
        <f>+H31-K31</f>
        <v>7.4528160910269525</v>
      </c>
      <c r="F31" s="75"/>
      <c r="G31" s="75"/>
      <c r="H31" s="75">
        <f>+H17/H27</f>
        <v>14.806345466666667</v>
      </c>
      <c r="I31" s="75"/>
      <c r="J31" s="75"/>
      <c r="K31" s="75">
        <f>+K17/K27</f>
        <v>7.353529375639714</v>
      </c>
      <c r="L31" s="75"/>
    </row>
    <row r="32" spans="1:12" ht="15.75" x14ac:dyDescent="0.25">
      <c r="A32" s="81"/>
      <c r="B32" s="81"/>
      <c r="C32" s="81"/>
      <c r="D32" s="81"/>
      <c r="E32" s="81"/>
      <c r="F32" s="81"/>
    </row>
    <row r="33" spans="1:16" ht="15.75" x14ac:dyDescent="0.25">
      <c r="A33" s="81"/>
      <c r="B33" s="81"/>
      <c r="C33" s="81"/>
      <c r="D33" s="81"/>
      <c r="E33" s="81"/>
      <c r="F33" s="81"/>
    </row>
    <row r="34" spans="1:16" ht="16.5" thickBot="1" x14ac:dyDescent="0.3">
      <c r="A34" s="87" t="s">
        <v>17</v>
      </c>
      <c r="B34" s="87"/>
      <c r="C34" s="87"/>
      <c r="D34" s="87"/>
      <c r="E34" s="87"/>
      <c r="F34" s="87"/>
      <c r="G34" s="88"/>
      <c r="H34" s="88"/>
      <c r="I34" s="88"/>
      <c r="J34" s="89"/>
      <c r="K34" s="88"/>
      <c r="L34" s="88"/>
      <c r="M34" s="88"/>
      <c r="N34" s="88"/>
      <c r="O34" s="88"/>
      <c r="P34" s="88"/>
    </row>
    <row r="35" spans="1:16" ht="16.5" thickBot="1" x14ac:dyDescent="0.3">
      <c r="A35" s="82" t="s">
        <v>18</v>
      </c>
      <c r="H35" s="94" t="s">
        <v>34</v>
      </c>
      <c r="K35" s="94" t="s">
        <v>34</v>
      </c>
    </row>
    <row r="36" spans="1:16" ht="15.75" x14ac:dyDescent="0.25">
      <c r="A36" s="82"/>
      <c r="B36" s="63" t="s">
        <v>19</v>
      </c>
      <c r="C36" s="75">
        <v>60000</v>
      </c>
      <c r="D36" s="75"/>
      <c r="E36" s="75"/>
      <c r="F36" s="75"/>
      <c r="H36" s="320">
        <v>0.5</v>
      </c>
      <c r="K36" s="320">
        <v>0.5</v>
      </c>
    </row>
    <row r="37" spans="1:16" ht="15.75" x14ac:dyDescent="0.25">
      <c r="A37" s="82"/>
      <c r="B37" s="63" t="s">
        <v>20</v>
      </c>
      <c r="C37" s="75">
        <f>C36*0.25</f>
        <v>15000</v>
      </c>
      <c r="D37" s="75"/>
      <c r="E37" s="75"/>
      <c r="F37" s="75"/>
      <c r="H37" s="320"/>
      <c r="I37" s="93"/>
      <c r="K37" s="320"/>
      <c r="L37" s="93"/>
    </row>
    <row r="38" spans="1:16" ht="15.75" x14ac:dyDescent="0.25">
      <c r="A38" s="82"/>
      <c r="B38" s="63" t="s">
        <v>21</v>
      </c>
      <c r="C38" s="75">
        <f>C36*0.05</f>
        <v>3000</v>
      </c>
      <c r="D38" s="75"/>
      <c r="E38" s="75"/>
      <c r="F38" s="75"/>
      <c r="H38" s="320"/>
      <c r="K38" s="320"/>
    </row>
    <row r="39" spans="1:16" ht="15.75" x14ac:dyDescent="0.25">
      <c r="A39" s="82"/>
      <c r="C39" s="72">
        <f>SUM(C36:C38)</f>
        <v>78000</v>
      </c>
      <c r="D39" s="124"/>
      <c r="E39" s="124"/>
      <c r="F39" s="124"/>
      <c r="H39" s="95">
        <f>$C$39*H36</f>
        <v>39000</v>
      </c>
      <c r="K39" s="95">
        <f>$C$39*K36</f>
        <v>39000</v>
      </c>
    </row>
    <row r="40" spans="1:16" ht="15.75" x14ac:dyDescent="0.25">
      <c r="A40" s="82" t="s">
        <v>22</v>
      </c>
      <c r="C40" s="75"/>
      <c r="D40" s="75"/>
      <c r="E40" s="75"/>
      <c r="F40" s="75"/>
    </row>
    <row r="41" spans="1:16" ht="15.75" x14ac:dyDescent="0.25">
      <c r="A41" s="82"/>
      <c r="B41" s="63" t="s">
        <v>19</v>
      </c>
      <c r="C41" s="75">
        <v>45000</v>
      </c>
      <c r="D41" s="75"/>
      <c r="E41" s="75"/>
      <c r="F41" s="75"/>
      <c r="H41" s="320">
        <v>1</v>
      </c>
      <c r="K41" s="320">
        <v>1</v>
      </c>
    </row>
    <row r="42" spans="1:16" ht="15.75" x14ac:dyDescent="0.25">
      <c r="A42" s="82"/>
      <c r="B42" s="63" t="s">
        <v>20</v>
      </c>
      <c r="C42" s="75">
        <f>C41*0.25</f>
        <v>11250</v>
      </c>
      <c r="D42" s="75"/>
      <c r="E42" s="75"/>
      <c r="F42" s="75"/>
      <c r="H42" s="320"/>
      <c r="K42" s="320"/>
    </row>
    <row r="43" spans="1:16" ht="15.75" x14ac:dyDescent="0.25">
      <c r="A43" s="82"/>
      <c r="B43" s="63" t="s">
        <v>21</v>
      </c>
      <c r="C43" s="75">
        <f>C41*0.05</f>
        <v>2250</v>
      </c>
      <c r="D43" s="75"/>
      <c r="E43" s="75"/>
      <c r="F43" s="75"/>
      <c r="H43" s="320"/>
      <c r="K43" s="320"/>
    </row>
    <row r="44" spans="1:16" ht="15.75" x14ac:dyDescent="0.25">
      <c r="A44" s="82"/>
      <c r="C44" s="72">
        <f>SUM(C41:C43)</f>
        <v>58500</v>
      </c>
      <c r="D44" s="124"/>
      <c r="E44" s="124"/>
      <c r="F44" s="124"/>
      <c r="H44" s="95">
        <f>$C$44*H41</f>
        <v>58500</v>
      </c>
      <c r="K44" s="95">
        <f>$C$44*K41</f>
        <v>58500</v>
      </c>
    </row>
    <row r="45" spans="1:16" ht="15.75" x14ac:dyDescent="0.25">
      <c r="A45" s="82" t="s">
        <v>23</v>
      </c>
      <c r="C45" s="75"/>
      <c r="D45" s="75"/>
      <c r="E45" s="75"/>
      <c r="F45" s="75"/>
    </row>
    <row r="46" spans="1:16" ht="15.75" x14ac:dyDescent="0.25">
      <c r="A46" s="82"/>
      <c r="B46" s="63" t="s">
        <v>19</v>
      </c>
      <c r="C46" s="75">
        <v>35000</v>
      </c>
      <c r="D46" s="75"/>
      <c r="E46" s="75"/>
      <c r="F46" s="75"/>
      <c r="H46" s="319">
        <v>3</v>
      </c>
      <c r="K46" s="319">
        <v>3</v>
      </c>
    </row>
    <row r="47" spans="1:16" ht="15" customHeight="1" x14ac:dyDescent="0.2">
      <c r="B47" s="63" t="s">
        <v>20</v>
      </c>
      <c r="C47" s="75">
        <f>C46*0.25</f>
        <v>8750</v>
      </c>
      <c r="D47" s="75"/>
      <c r="E47" s="75"/>
      <c r="F47" s="75"/>
      <c r="H47" s="319"/>
      <c r="I47" s="93"/>
      <c r="K47" s="319"/>
      <c r="L47" s="93"/>
    </row>
    <row r="48" spans="1:16" ht="15" customHeight="1" x14ac:dyDescent="0.2">
      <c r="B48" s="63" t="s">
        <v>21</v>
      </c>
      <c r="C48" s="75">
        <f>C46*0.05</f>
        <v>1750</v>
      </c>
      <c r="D48" s="75"/>
      <c r="E48" s="75"/>
      <c r="F48" s="75"/>
      <c r="H48" s="319"/>
      <c r="K48" s="319"/>
    </row>
    <row r="49" spans="1:11" x14ac:dyDescent="0.2">
      <c r="C49" s="72">
        <f>SUM(C46:C48)</f>
        <v>45500</v>
      </c>
      <c r="D49" s="124"/>
      <c r="E49" s="124"/>
      <c r="F49" s="124"/>
      <c r="H49" s="95">
        <f>$C$49*H46</f>
        <v>136500</v>
      </c>
      <c r="K49" s="95">
        <f>$C$49*K46</f>
        <v>136500</v>
      </c>
    </row>
    <row r="50" spans="1:11" ht="15.75" x14ac:dyDescent="0.25">
      <c r="A50" s="81" t="s">
        <v>24</v>
      </c>
      <c r="B50" s="81"/>
      <c r="C50" s="75"/>
      <c r="D50" s="75"/>
      <c r="E50" s="75"/>
      <c r="F50" s="75"/>
    </row>
    <row r="51" spans="1:11" ht="15.75" x14ac:dyDescent="0.25">
      <c r="A51" s="81"/>
      <c r="B51" s="91" t="s">
        <v>19</v>
      </c>
      <c r="C51" s="75">
        <v>40000</v>
      </c>
      <c r="D51" s="75"/>
      <c r="E51" s="75"/>
      <c r="F51" s="75"/>
      <c r="H51" s="320">
        <v>0.5</v>
      </c>
      <c r="K51" s="320">
        <v>0.5</v>
      </c>
    </row>
    <row r="52" spans="1:11" ht="15.75" x14ac:dyDescent="0.25">
      <c r="A52" s="81"/>
      <c r="B52" s="91" t="s">
        <v>20</v>
      </c>
      <c r="C52" s="75">
        <f>C51*0.25</f>
        <v>10000</v>
      </c>
      <c r="D52" s="75"/>
      <c r="E52" s="75"/>
      <c r="F52" s="75"/>
      <c r="H52" s="320"/>
      <c r="K52" s="320"/>
    </row>
    <row r="53" spans="1:11" ht="15.75" x14ac:dyDescent="0.25">
      <c r="A53" s="81"/>
      <c r="B53" s="91" t="s">
        <v>21</v>
      </c>
      <c r="C53" s="78">
        <f>C51*0.05</f>
        <v>2000</v>
      </c>
      <c r="D53" s="124"/>
      <c r="E53" s="124"/>
      <c r="F53" s="124"/>
      <c r="H53" s="320"/>
      <c r="K53" s="320"/>
    </row>
    <row r="54" spans="1:11" ht="15.75" x14ac:dyDescent="0.25">
      <c r="A54" s="81"/>
      <c r="B54" s="81"/>
      <c r="C54" s="75">
        <f>C51+C52+C53</f>
        <v>52000</v>
      </c>
      <c r="D54" s="75"/>
      <c r="E54" s="75"/>
      <c r="F54" s="75"/>
      <c r="H54" s="95">
        <f>$C$54*H51</f>
        <v>26000</v>
      </c>
      <c r="K54" s="95">
        <f>$C$54*K51</f>
        <v>26000</v>
      </c>
    </row>
    <row r="56" spans="1:11" ht="15.75" x14ac:dyDescent="0.25">
      <c r="A56" s="82" t="s">
        <v>151</v>
      </c>
      <c r="H56" s="213">
        <f>+H19-260000</f>
        <v>-34829.817997577746</v>
      </c>
      <c r="K56" s="213">
        <f>+K19-260000</f>
        <v>-34829.817997577746</v>
      </c>
    </row>
    <row r="57" spans="1:11" x14ac:dyDescent="0.2">
      <c r="H57" s="213"/>
      <c r="K57" s="213"/>
    </row>
    <row r="58" spans="1:11" x14ac:dyDescent="0.2">
      <c r="H58" s="213"/>
      <c r="K58" s="213"/>
    </row>
    <row r="59" spans="1:11" ht="16.5" thickBot="1" x14ac:dyDescent="0.3">
      <c r="A59" s="212" t="str">
        <f>+A19</f>
        <v>Payroll Salary &amp; Wages</v>
      </c>
      <c r="H59" s="214">
        <f>+H39+H44+H49+H54+H56</f>
        <v>225170.18200242225</v>
      </c>
      <c r="K59" s="214">
        <f>+K39+K44+K49+K54+K56</f>
        <v>225170.18200242225</v>
      </c>
    </row>
    <row r="60" spans="1:11" ht="15.75" thickTop="1" x14ac:dyDescent="0.2"/>
  </sheetData>
  <mergeCells count="12">
    <mergeCell ref="E4:F4"/>
    <mergeCell ref="E3:L3"/>
    <mergeCell ref="H46:H48"/>
    <mergeCell ref="K46:K48"/>
    <mergeCell ref="H51:H53"/>
    <mergeCell ref="K51:K53"/>
    <mergeCell ref="H4:I4"/>
    <mergeCell ref="K4:L4"/>
    <mergeCell ref="H36:H38"/>
    <mergeCell ref="K36:K38"/>
    <mergeCell ref="H41:H43"/>
    <mergeCell ref="K41:K43"/>
  </mergeCells>
  <pageMargins left="0.7" right="0.7" top="0.75" bottom="0.75" header="0.3" footer="0.3"/>
  <pageSetup scale="56" orientation="landscape" horizontalDpi="0" verticalDpi="0"/>
  <headerFooter>
    <oddFooter>&amp;L&amp;"Calibri,Regular"&amp;K000000&amp;D&amp;R&amp;"Calibri,Regular"&amp;K000000&amp;F&amp;A</oddFooter>
  </headerFooter>
  <colBreaks count="1" manualBreakCount="1">
    <brk id="14" max="46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0" r:id="rId3" name="Spinner 4">
              <controlPr defaultSize="0" autoPict="0">
                <anchor moveWithCells="1" sizeWithCells="1">
                  <from>
                    <xdr:col>11</xdr:col>
                    <xdr:colOff>304800</xdr:colOff>
                    <xdr:row>27</xdr:row>
                    <xdr:rowOff>114300</xdr:rowOff>
                  </from>
                  <to>
                    <xdr:col>11</xdr:col>
                    <xdr:colOff>771525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2:P60"/>
  <sheetViews>
    <sheetView zoomScaleNormal="100" zoomScaleSheetLayoutView="100" workbookViewId="0">
      <selection activeCell="B11" sqref="B11"/>
    </sheetView>
  </sheetViews>
  <sheetFormatPr defaultColWidth="9.140625" defaultRowHeight="15" x14ac:dyDescent="0.2"/>
  <cols>
    <col min="1" max="1" width="28.7109375" style="63" customWidth="1"/>
    <col min="2" max="2" width="18.42578125" style="63" bestFit="1" customWidth="1"/>
    <col min="3" max="3" width="16.7109375" style="63" bestFit="1" customWidth="1"/>
    <col min="4" max="4" width="4.28515625" style="63" customWidth="1"/>
    <col min="5" max="5" width="16.7109375" style="63" customWidth="1"/>
    <col min="6" max="6" width="15" style="63" customWidth="1"/>
    <col min="7" max="7" width="7.85546875" style="63" customWidth="1"/>
    <col min="8" max="8" width="17.42578125" style="63" bestFit="1" customWidth="1"/>
    <col min="9" max="9" width="16.7109375" style="63" bestFit="1" customWidth="1"/>
    <col min="10" max="10" width="7.85546875" style="63" customWidth="1"/>
    <col min="11" max="11" width="16.42578125" style="63" customWidth="1"/>
    <col min="12" max="12" width="16.7109375" style="63" bestFit="1" customWidth="1"/>
    <col min="13" max="16384" width="9.140625" style="63"/>
  </cols>
  <sheetData>
    <row r="2" spans="1:13" ht="15.75" thickBot="1" x14ac:dyDescent="0.25"/>
    <row r="3" spans="1:13" ht="21" thickBot="1" x14ac:dyDescent="0.35">
      <c r="D3" s="221"/>
      <c r="E3" s="327" t="s">
        <v>42</v>
      </c>
      <c r="F3" s="328"/>
      <c r="G3" s="328"/>
      <c r="H3" s="328"/>
      <c r="I3" s="328"/>
      <c r="J3" s="328"/>
      <c r="K3" s="328"/>
      <c r="L3" s="329"/>
    </row>
    <row r="4" spans="1:13" s="236" customFormat="1" ht="18" x14ac:dyDescent="0.25">
      <c r="A4" s="232"/>
      <c r="B4" s="233"/>
      <c r="C4" s="234" t="s">
        <v>0</v>
      </c>
      <c r="D4" s="235"/>
      <c r="E4" s="322" t="s">
        <v>179</v>
      </c>
      <c r="F4" s="322"/>
      <c r="H4" s="326" t="s">
        <v>35</v>
      </c>
      <c r="I4" s="326"/>
      <c r="K4" s="326" t="s">
        <v>36</v>
      </c>
      <c r="L4" s="326"/>
    </row>
    <row r="5" spans="1:13" ht="15.75" x14ac:dyDescent="0.25">
      <c r="A5" s="67"/>
      <c r="B5" s="67"/>
      <c r="C5" s="68" t="s">
        <v>3</v>
      </c>
      <c r="D5" s="217"/>
      <c r="E5" s="69" t="s">
        <v>152</v>
      </c>
      <c r="F5" s="70" t="s">
        <v>3</v>
      </c>
      <c r="H5" s="69" t="s">
        <v>26</v>
      </c>
      <c r="I5" s="70" t="s">
        <v>3</v>
      </c>
      <c r="K5" s="69" t="s">
        <v>26</v>
      </c>
      <c r="L5" s="70" t="s">
        <v>3</v>
      </c>
    </row>
    <row r="6" spans="1:13" ht="15.75" x14ac:dyDescent="0.25">
      <c r="A6" s="65" t="s">
        <v>5</v>
      </c>
      <c r="B6" s="65"/>
      <c r="C6" s="71">
        <v>1</v>
      </c>
      <c r="D6" s="77"/>
      <c r="E6" s="204">
        <f>+H6+K6</f>
        <v>817700</v>
      </c>
      <c r="F6" s="73">
        <f>E6/E6</f>
        <v>1</v>
      </c>
      <c r="H6" s="204">
        <f>+'ReStore North 22'!L10</f>
        <v>370300</v>
      </c>
      <c r="I6" s="73">
        <f>H6/H6</f>
        <v>1</v>
      </c>
      <c r="K6" s="204">
        <f>+'ReStore South 22'!L10</f>
        <v>447400</v>
      </c>
      <c r="L6" s="73">
        <f>K6/K6</f>
        <v>1</v>
      </c>
    </row>
    <row r="7" spans="1:13" customFormat="1" x14ac:dyDescent="0.25"/>
    <row r="8" spans="1:13" ht="15.75" x14ac:dyDescent="0.25">
      <c r="A8" s="65"/>
      <c r="B8" s="65"/>
      <c r="C8" s="77"/>
      <c r="D8" s="77"/>
      <c r="E8" s="205"/>
      <c r="F8" s="125"/>
      <c r="H8" s="205"/>
      <c r="I8" s="125"/>
      <c r="K8" s="205"/>
      <c r="L8" s="125"/>
    </row>
    <row r="9" spans="1:13" ht="15.75" x14ac:dyDescent="0.25">
      <c r="A9" s="65" t="s">
        <v>155</v>
      </c>
      <c r="B9" s="65"/>
      <c r="C9" s="77"/>
      <c r="D9" s="77"/>
      <c r="E9" s="205">
        <f>+H9+K9</f>
        <v>10630.1</v>
      </c>
      <c r="F9" s="125">
        <f>+E9/E6</f>
        <v>1.3000000000000001E-2</v>
      </c>
      <c r="H9" s="205">
        <f>+'ReStore North 22'!L28</f>
        <v>4813.9000000000005</v>
      </c>
      <c r="I9" s="125">
        <f>+H9/H6</f>
        <v>1.3000000000000001E-2</v>
      </c>
      <c r="K9" s="205">
        <f>+'ReStore South 22'!L28</f>
        <v>5816.2</v>
      </c>
      <c r="L9" s="125">
        <f>+K9/K6</f>
        <v>1.2999999999999999E-2</v>
      </c>
    </row>
    <row r="10" spans="1:13" ht="15.75" x14ac:dyDescent="0.25">
      <c r="A10" s="65" t="s">
        <v>43</v>
      </c>
      <c r="B10" s="65"/>
      <c r="C10" s="77"/>
      <c r="D10" s="77"/>
      <c r="E10" s="205">
        <f>+H10+K10</f>
        <v>28800</v>
      </c>
      <c r="F10" s="125">
        <f>+E10/E6</f>
        <v>3.5220741103094047E-2</v>
      </c>
      <c r="H10" s="205">
        <f>+'ReStore North 22'!L29+'ReStore North 22'!L30-'ReStore North 22'!L16-'ReStore North 22'!L18</f>
        <v>15300</v>
      </c>
      <c r="I10" s="125">
        <f>+H10/H6</f>
        <v>4.1317850391574401E-2</v>
      </c>
      <c r="K10" s="205">
        <f>+'ReStore South 22'!L29+'ReStore South 22'!L30-'ReStore South 22'!L16-'ReStore South 22'!L18</f>
        <v>13500</v>
      </c>
      <c r="L10" s="125">
        <f>+K10/K6</f>
        <v>3.017434063477872E-2</v>
      </c>
    </row>
    <row r="11" spans="1:13" ht="15.75" x14ac:dyDescent="0.25">
      <c r="A11" s="65"/>
      <c r="B11" s="65"/>
      <c r="C11" s="77"/>
      <c r="D11" s="77"/>
      <c r="E11" s="205"/>
      <c r="F11" s="125"/>
      <c r="H11" s="205"/>
      <c r="I11" s="125"/>
      <c r="K11" s="205"/>
      <c r="L11" s="125"/>
    </row>
    <row r="12" spans="1:13" ht="15.75" x14ac:dyDescent="0.25">
      <c r="A12" s="65" t="s">
        <v>41</v>
      </c>
      <c r="B12" s="65"/>
      <c r="C12" s="77"/>
      <c r="D12" s="77"/>
      <c r="E12" s="204">
        <f>+E6-E10-E9</f>
        <v>778269.9</v>
      </c>
      <c r="F12" s="73">
        <f>+E12/E6</f>
        <v>0.95177925889690596</v>
      </c>
      <c r="H12" s="204">
        <f>+H6-H10-H9</f>
        <v>350186.1</v>
      </c>
      <c r="I12" s="73">
        <f>+H12/H6</f>
        <v>0.94568214960842556</v>
      </c>
      <c r="K12" s="204">
        <f>+K6-K10-K9</f>
        <v>428083.8</v>
      </c>
      <c r="L12" s="73">
        <f>+K12/K6</f>
        <v>0.95682565936522124</v>
      </c>
    </row>
    <row r="13" spans="1:13" ht="15.75" x14ac:dyDescent="0.25">
      <c r="A13" s="65"/>
      <c r="B13" s="65"/>
      <c r="C13" s="77"/>
      <c r="D13" s="77"/>
      <c r="E13" s="205"/>
      <c r="F13" s="125"/>
      <c r="H13" s="205"/>
      <c r="I13" s="125"/>
      <c r="K13" s="205"/>
      <c r="L13" s="125"/>
    </row>
    <row r="14" spans="1:13" ht="15.75" x14ac:dyDescent="0.25">
      <c r="A14" s="65" t="s">
        <v>6</v>
      </c>
      <c r="C14" s="74"/>
      <c r="D14" s="74"/>
      <c r="E14" s="206"/>
      <c r="F14" s="76"/>
      <c r="H14" s="206"/>
      <c r="I14" s="76"/>
      <c r="K14" s="206"/>
      <c r="L14" s="76"/>
    </row>
    <row r="15" spans="1:13" ht="15.75" x14ac:dyDescent="0.25">
      <c r="A15" s="92" t="s">
        <v>7</v>
      </c>
      <c r="C15" s="74">
        <v>0.05</v>
      </c>
      <c r="D15" s="74"/>
      <c r="E15" s="205">
        <f>+H15+K15</f>
        <v>3200</v>
      </c>
      <c r="F15" s="210">
        <f>+E15/E6</f>
        <v>3.9134156781215606E-3</v>
      </c>
      <c r="H15" s="206">
        <f>+'ReStore North 22'!L35</f>
        <v>1600</v>
      </c>
      <c r="I15" s="210">
        <f>+H15/H6</f>
        <v>4.3208209559816363E-3</v>
      </c>
      <c r="J15" s="93" t="s">
        <v>46</v>
      </c>
      <c r="K15" s="206">
        <f>+'ReStore South 22'!L35</f>
        <v>1600</v>
      </c>
      <c r="L15" s="210">
        <f>+K15/K6</f>
        <v>3.5762181493071078E-3</v>
      </c>
      <c r="M15" s="93" t="s">
        <v>46</v>
      </c>
    </row>
    <row r="16" spans="1:13" ht="15.75" x14ac:dyDescent="0.25">
      <c r="A16" s="92"/>
      <c r="C16" s="74"/>
      <c r="D16" s="74"/>
      <c r="E16" s="206"/>
      <c r="F16" s="76"/>
      <c r="H16" s="206"/>
      <c r="I16" s="76"/>
      <c r="K16" s="206"/>
      <c r="L16" s="76"/>
    </row>
    <row r="17" spans="1:12" ht="15.75" x14ac:dyDescent="0.25">
      <c r="A17" s="92" t="s">
        <v>8</v>
      </c>
      <c r="C17" s="74">
        <v>0.15</v>
      </c>
      <c r="D17" s="74"/>
      <c r="E17" s="205">
        <f>+H17+K17</f>
        <v>98165.49</v>
      </c>
      <c r="F17" s="76">
        <f>E17/E6</f>
        <v>0.12005073988015165</v>
      </c>
      <c r="H17" s="206">
        <f>SUM('ReStore North 22'!L44:L53)</f>
        <v>71843.982000000004</v>
      </c>
      <c r="I17" s="76">
        <f>H17/H6</f>
        <v>0.19401561436672968</v>
      </c>
      <c r="K17" s="206">
        <f>SUM('ReStore South 22'!L44:L53)</f>
        <v>26321.508000000002</v>
      </c>
      <c r="L17" s="76">
        <f>K17/K6</f>
        <v>5.8832159141707648E-2</v>
      </c>
    </row>
    <row r="18" spans="1:12" ht="15.75" x14ac:dyDescent="0.25">
      <c r="A18" s="92"/>
      <c r="C18" s="74"/>
      <c r="D18" s="74"/>
      <c r="E18" s="206"/>
      <c r="F18" s="76"/>
      <c r="H18" s="206"/>
      <c r="I18" s="76"/>
      <c r="K18" s="206"/>
      <c r="L18" s="76"/>
    </row>
    <row r="19" spans="1:12" ht="15.75" x14ac:dyDescent="0.25">
      <c r="A19" s="92" t="s">
        <v>9</v>
      </c>
      <c r="C19" s="74">
        <v>0.4</v>
      </c>
      <c r="D19" s="74"/>
      <c r="E19" s="205">
        <f>+H19+K19</f>
        <v>450340.36400484451</v>
      </c>
      <c r="F19" s="76">
        <f>E19/E6</f>
        <v>0.55074032530860284</v>
      </c>
      <c r="H19" s="206">
        <f>SUM('ReStore North 22'!L54:L62)</f>
        <v>225170.18200242225</v>
      </c>
      <c r="I19" s="76">
        <f>H19/H6</f>
        <v>0.6080750256614158</v>
      </c>
      <c r="K19" s="206">
        <f>SUM('ReStore South 22'!L54:L62)</f>
        <v>225170.18200242225</v>
      </c>
      <c r="L19" s="76">
        <f>K19/K6</f>
        <v>0.50328605722490449</v>
      </c>
    </row>
    <row r="20" spans="1:12" ht="15.75" x14ac:dyDescent="0.25">
      <c r="A20" s="92"/>
      <c r="C20" s="74"/>
      <c r="D20" s="74"/>
      <c r="E20" s="206"/>
      <c r="F20" s="76"/>
      <c r="H20" s="206"/>
      <c r="I20" s="76"/>
      <c r="K20" s="206"/>
      <c r="L20" s="76"/>
    </row>
    <row r="21" spans="1:12" ht="15.75" x14ac:dyDescent="0.25">
      <c r="A21" s="92" t="s">
        <v>10</v>
      </c>
      <c r="C21" s="77">
        <v>0.15</v>
      </c>
      <c r="D21" s="77"/>
      <c r="E21" s="208">
        <f>+H21+K21</f>
        <v>29444.999400000001</v>
      </c>
      <c r="F21" s="79">
        <v>0.03</v>
      </c>
      <c r="H21" s="208">
        <f>SUM('ReStore North 22'!L63:L77)</f>
        <v>14222.4997</v>
      </c>
      <c r="I21" s="79">
        <f>+H21/H6</f>
        <v>3.8408046718876585E-2</v>
      </c>
      <c r="K21" s="208">
        <f>SUM('ReStore South 22'!L63:L77)</f>
        <v>15222.4997</v>
      </c>
      <c r="L21" s="79">
        <f>+K21/K6</f>
        <v>3.4024362315601249E-2</v>
      </c>
    </row>
    <row r="22" spans="1:12" ht="15.75" x14ac:dyDescent="0.25">
      <c r="A22" s="65"/>
      <c r="C22" s="77"/>
      <c r="D22" s="77"/>
      <c r="E22" s="206"/>
      <c r="F22" s="76"/>
      <c r="H22" s="206"/>
      <c r="I22" s="76"/>
      <c r="K22" s="206"/>
      <c r="L22" s="76"/>
    </row>
    <row r="23" spans="1:12" ht="16.5" thickBot="1" x14ac:dyDescent="0.3">
      <c r="A23" s="65" t="s">
        <v>11</v>
      </c>
      <c r="C23" s="77">
        <v>0.75</v>
      </c>
      <c r="D23" s="77"/>
      <c r="E23" s="209">
        <f>E15+E17+E19+E21</f>
        <v>581150.85340484453</v>
      </c>
      <c r="F23" s="80">
        <f>E23/E6</f>
        <v>0.71071401908382603</v>
      </c>
      <c r="H23" s="209">
        <f>H15+H17+H19+H21</f>
        <v>312836.66370242223</v>
      </c>
      <c r="I23" s="80">
        <f>H23/H6</f>
        <v>0.84481950770300362</v>
      </c>
      <c r="K23" s="209">
        <f>K15+K17+K19+K21</f>
        <v>268314.18970242224</v>
      </c>
      <c r="L23" s="80">
        <f>K23/K6</f>
        <v>0.59971879683152041</v>
      </c>
    </row>
    <row r="24" spans="1:12" ht="16.5" thickTop="1" x14ac:dyDescent="0.25">
      <c r="A24" s="65"/>
      <c r="B24" s="65"/>
      <c r="C24" s="77"/>
      <c r="D24" s="77"/>
      <c r="E24" s="75"/>
      <c r="F24" s="76"/>
      <c r="H24" s="75"/>
      <c r="I24" s="76"/>
      <c r="K24" s="75"/>
      <c r="L24" s="76"/>
    </row>
    <row r="25" spans="1:12" ht="15.75" x14ac:dyDescent="0.25">
      <c r="A25" s="65" t="s">
        <v>12</v>
      </c>
      <c r="B25" s="65"/>
      <c r="C25" s="77">
        <v>0.25</v>
      </c>
      <c r="D25" s="77"/>
      <c r="E25" s="206">
        <f>E12-E23</f>
        <v>197119.04659515549</v>
      </c>
      <c r="F25" s="76">
        <f>E25/E6</f>
        <v>0.24106523981307998</v>
      </c>
      <c r="H25" s="206">
        <f>H12-H23</f>
        <v>37349.436297577748</v>
      </c>
      <c r="I25" s="76">
        <f>H25/H6</f>
        <v>0.10086264190542195</v>
      </c>
      <c r="K25" s="206">
        <f>K12-K23</f>
        <v>159769.61029757775</v>
      </c>
      <c r="L25" s="76">
        <f>K25/K6</f>
        <v>0.35710686253370083</v>
      </c>
    </row>
    <row r="26" spans="1:12" ht="15.75" x14ac:dyDescent="0.25">
      <c r="A26" s="81"/>
      <c r="B26" s="81"/>
    </row>
    <row r="27" spans="1:12" ht="15.75" x14ac:dyDescent="0.25">
      <c r="A27" s="81" t="s">
        <v>13</v>
      </c>
      <c r="B27" s="81"/>
      <c r="C27" s="82"/>
      <c r="D27" s="82"/>
      <c r="E27" s="211">
        <f>+H27+K27</f>
        <v>21243</v>
      </c>
      <c r="F27" s="211"/>
      <c r="H27" s="211">
        <v>9770</v>
      </c>
      <c r="K27" s="211">
        <v>11473</v>
      </c>
    </row>
    <row r="28" spans="1:12" ht="15.75" x14ac:dyDescent="0.25">
      <c r="A28" s="81"/>
      <c r="B28" s="81"/>
    </row>
    <row r="29" spans="1:12" ht="15.75" x14ac:dyDescent="0.25">
      <c r="A29" s="81" t="s">
        <v>33</v>
      </c>
      <c r="B29" s="81"/>
      <c r="C29" s="83">
        <v>50</v>
      </c>
      <c r="D29" s="215"/>
      <c r="E29" s="84">
        <f>+E6/E27</f>
        <v>38.492679941627827</v>
      </c>
      <c r="F29" s="218"/>
      <c r="H29" s="84">
        <v>38</v>
      </c>
      <c r="K29" s="84">
        <v>39</v>
      </c>
    </row>
    <row r="30" spans="1:12" ht="15.75" x14ac:dyDescent="0.25">
      <c r="A30" s="81"/>
      <c r="B30" s="81"/>
      <c r="C30" s="82"/>
      <c r="D30" s="82"/>
    </row>
    <row r="31" spans="1:12" ht="15.75" x14ac:dyDescent="0.25">
      <c r="A31" s="85" t="s">
        <v>15</v>
      </c>
      <c r="B31" s="85"/>
      <c r="C31" s="86" t="s">
        <v>16</v>
      </c>
      <c r="D31" s="216"/>
      <c r="E31" s="75">
        <f>+E17/E27</f>
        <v>4.6210747069622933</v>
      </c>
      <c r="F31" s="75"/>
      <c r="G31" s="75"/>
      <c r="H31" s="75">
        <f>+H17/H27</f>
        <v>7.353529375639714</v>
      </c>
      <c r="I31" s="75"/>
      <c r="J31" s="75"/>
      <c r="K31" s="75">
        <f>+K17/K27</f>
        <v>2.2942131961997734</v>
      </c>
      <c r="L31" s="75"/>
    </row>
    <row r="32" spans="1:12" ht="15.75" x14ac:dyDescent="0.25">
      <c r="A32" s="81"/>
      <c r="B32" s="81"/>
      <c r="C32" s="81"/>
      <c r="D32" s="81"/>
      <c r="E32" s="81"/>
      <c r="F32" s="81"/>
    </row>
    <row r="33" spans="1:16" ht="15.75" x14ac:dyDescent="0.25">
      <c r="A33" s="81"/>
      <c r="B33" s="81"/>
      <c r="C33" s="81"/>
      <c r="D33" s="81"/>
      <c r="E33" s="81"/>
      <c r="F33" s="81"/>
    </row>
    <row r="34" spans="1:16" ht="16.5" thickBot="1" x14ac:dyDescent="0.3">
      <c r="A34" s="87" t="s">
        <v>17</v>
      </c>
      <c r="B34" s="87"/>
      <c r="C34" s="87"/>
      <c r="D34" s="87"/>
      <c r="E34" s="87"/>
      <c r="F34" s="87"/>
      <c r="G34" s="88"/>
      <c r="H34" s="88"/>
      <c r="I34" s="88"/>
      <c r="J34" s="89"/>
      <c r="K34" s="90"/>
      <c r="L34" s="89"/>
      <c r="M34" s="88"/>
      <c r="N34" s="88"/>
      <c r="O34" s="88"/>
      <c r="P34" s="88"/>
    </row>
    <row r="35" spans="1:16" ht="16.5" thickBot="1" x14ac:dyDescent="0.3">
      <c r="A35" s="82" t="s">
        <v>18</v>
      </c>
      <c r="H35" s="94" t="s">
        <v>34</v>
      </c>
      <c r="K35" s="94" t="s">
        <v>34</v>
      </c>
    </row>
    <row r="36" spans="1:16" ht="15.75" x14ac:dyDescent="0.25">
      <c r="A36" s="82"/>
      <c r="B36" s="63" t="s">
        <v>19</v>
      </c>
      <c r="C36" s="75">
        <v>60000</v>
      </c>
      <c r="D36" s="75"/>
      <c r="E36" s="75"/>
      <c r="F36" s="75"/>
      <c r="H36" s="320">
        <v>0.5</v>
      </c>
      <c r="K36" s="320">
        <v>0.5</v>
      </c>
    </row>
    <row r="37" spans="1:16" ht="15.75" x14ac:dyDescent="0.25">
      <c r="A37" s="82"/>
      <c r="B37" s="63" t="s">
        <v>20</v>
      </c>
      <c r="C37" s="75">
        <f>C36*0.25</f>
        <v>15000</v>
      </c>
      <c r="D37" s="75"/>
      <c r="E37" s="75"/>
      <c r="F37" s="75"/>
      <c r="H37" s="320"/>
      <c r="I37" s="93"/>
      <c r="K37" s="320"/>
    </row>
    <row r="38" spans="1:16" ht="15.75" x14ac:dyDescent="0.25">
      <c r="A38" s="82"/>
      <c r="B38" s="63" t="s">
        <v>21</v>
      </c>
      <c r="C38" s="75">
        <f>C36*0.05</f>
        <v>3000</v>
      </c>
      <c r="D38" s="75"/>
      <c r="E38" s="75"/>
      <c r="F38" s="75"/>
      <c r="H38" s="320"/>
      <c r="K38" s="320"/>
    </row>
    <row r="39" spans="1:16" ht="15.75" x14ac:dyDescent="0.25">
      <c r="A39" s="82"/>
      <c r="C39" s="72">
        <f>SUM(C36:C38)</f>
        <v>78000</v>
      </c>
      <c r="D39" s="124"/>
      <c r="E39" s="124"/>
      <c r="F39" s="124"/>
      <c r="H39" s="95">
        <f>$C$39*H36</f>
        <v>39000</v>
      </c>
      <c r="K39" s="95">
        <f>$C$39*K36</f>
        <v>39000</v>
      </c>
    </row>
    <row r="40" spans="1:16" ht="15.75" x14ac:dyDescent="0.25">
      <c r="A40" s="82" t="s">
        <v>22</v>
      </c>
      <c r="C40" s="75"/>
      <c r="D40" s="75"/>
      <c r="E40" s="75"/>
      <c r="F40" s="75"/>
    </row>
    <row r="41" spans="1:16" ht="15.75" x14ac:dyDescent="0.25">
      <c r="A41" s="82"/>
      <c r="B41" s="63" t="s">
        <v>19</v>
      </c>
      <c r="C41" s="75">
        <v>45000</v>
      </c>
      <c r="D41" s="75"/>
      <c r="E41" s="75"/>
      <c r="F41" s="75"/>
      <c r="H41" s="320">
        <v>1</v>
      </c>
      <c r="K41" s="320">
        <v>1</v>
      </c>
    </row>
    <row r="42" spans="1:16" ht="15.75" x14ac:dyDescent="0.25">
      <c r="A42" s="82"/>
      <c r="B42" s="63" t="s">
        <v>20</v>
      </c>
      <c r="C42" s="75">
        <f>C41*0.25</f>
        <v>11250</v>
      </c>
      <c r="D42" s="75"/>
      <c r="E42" s="75"/>
      <c r="F42" s="75"/>
      <c r="H42" s="320"/>
      <c r="K42" s="320"/>
    </row>
    <row r="43" spans="1:16" ht="15.75" x14ac:dyDescent="0.25">
      <c r="A43" s="82"/>
      <c r="B43" s="63" t="s">
        <v>21</v>
      </c>
      <c r="C43" s="75">
        <f>C41*0.05</f>
        <v>2250</v>
      </c>
      <c r="D43" s="75"/>
      <c r="E43" s="75"/>
      <c r="F43" s="75"/>
      <c r="H43" s="320"/>
      <c r="K43" s="320"/>
    </row>
    <row r="44" spans="1:16" ht="15.75" x14ac:dyDescent="0.25">
      <c r="A44" s="82"/>
      <c r="C44" s="72">
        <f>SUM(C41:C43)</f>
        <v>58500</v>
      </c>
      <c r="D44" s="124"/>
      <c r="E44" s="124"/>
      <c r="F44" s="124"/>
      <c r="H44" s="95">
        <f>$C$44*H41</f>
        <v>58500</v>
      </c>
      <c r="K44" s="95">
        <f>$C$44*K41</f>
        <v>58500</v>
      </c>
    </row>
    <row r="45" spans="1:16" ht="15.75" x14ac:dyDescent="0.25">
      <c r="A45" s="82" t="s">
        <v>23</v>
      </c>
      <c r="C45" s="75"/>
      <c r="D45" s="75"/>
      <c r="E45" s="75"/>
      <c r="F45" s="75"/>
    </row>
    <row r="46" spans="1:16" ht="15.75" x14ac:dyDescent="0.25">
      <c r="A46" s="82"/>
      <c r="B46" s="63" t="s">
        <v>19</v>
      </c>
      <c r="C46" s="75">
        <v>35000</v>
      </c>
      <c r="D46" s="75"/>
      <c r="E46" s="75"/>
      <c r="F46" s="75"/>
      <c r="H46" s="319">
        <v>3</v>
      </c>
      <c r="K46" s="320">
        <v>3</v>
      </c>
    </row>
    <row r="47" spans="1:16" ht="15" customHeight="1" x14ac:dyDescent="0.2">
      <c r="B47" s="63" t="s">
        <v>20</v>
      </c>
      <c r="C47" s="75">
        <f>C46*0.25</f>
        <v>8750</v>
      </c>
      <c r="D47" s="75"/>
      <c r="E47" s="75"/>
      <c r="F47" s="75"/>
      <c r="H47" s="319"/>
      <c r="I47" s="93"/>
      <c r="K47" s="320"/>
    </row>
    <row r="48" spans="1:16" ht="15" customHeight="1" x14ac:dyDescent="0.2">
      <c r="B48" s="63" t="s">
        <v>21</v>
      </c>
      <c r="C48" s="75">
        <f>C46*0.05</f>
        <v>1750</v>
      </c>
      <c r="D48" s="75"/>
      <c r="E48" s="75"/>
      <c r="F48" s="75"/>
      <c r="H48" s="319"/>
      <c r="K48" s="320"/>
    </row>
    <row r="49" spans="1:11" x14ac:dyDescent="0.2">
      <c r="C49" s="72">
        <f>SUM(C46:C48)</f>
        <v>45500</v>
      </c>
      <c r="D49" s="124"/>
      <c r="E49" s="124"/>
      <c r="F49" s="124"/>
      <c r="H49" s="95">
        <f>$C$49*H46</f>
        <v>136500</v>
      </c>
      <c r="K49" s="95">
        <f>$C$49*K46</f>
        <v>136500</v>
      </c>
    </row>
    <row r="50" spans="1:11" ht="15.75" x14ac:dyDescent="0.25">
      <c r="A50" s="81" t="s">
        <v>24</v>
      </c>
      <c r="B50" s="81"/>
      <c r="C50" s="75"/>
      <c r="D50" s="75"/>
      <c r="E50" s="75"/>
      <c r="F50" s="75"/>
    </row>
    <row r="51" spans="1:11" ht="15.75" x14ac:dyDescent="0.25">
      <c r="A51" s="81"/>
      <c r="B51" s="91" t="s">
        <v>19</v>
      </c>
      <c r="C51" s="75">
        <v>40000</v>
      </c>
      <c r="D51" s="75"/>
      <c r="E51" s="75"/>
      <c r="F51" s="75"/>
      <c r="H51" s="320">
        <v>0.5</v>
      </c>
      <c r="K51" s="320">
        <v>0.5</v>
      </c>
    </row>
    <row r="52" spans="1:11" ht="15.75" x14ac:dyDescent="0.25">
      <c r="A52" s="81"/>
      <c r="B52" s="91" t="s">
        <v>20</v>
      </c>
      <c r="C52" s="75">
        <f>C51*0.25</f>
        <v>10000</v>
      </c>
      <c r="D52" s="75"/>
      <c r="E52" s="75"/>
      <c r="F52" s="75"/>
      <c r="H52" s="320"/>
      <c r="K52" s="320"/>
    </row>
    <row r="53" spans="1:11" ht="15.75" x14ac:dyDescent="0.25">
      <c r="A53" s="81"/>
      <c r="B53" s="91" t="s">
        <v>21</v>
      </c>
      <c r="C53" s="78">
        <f>C51*0.05</f>
        <v>2000</v>
      </c>
      <c r="D53" s="124"/>
      <c r="E53" s="124"/>
      <c r="F53" s="124"/>
      <c r="H53" s="320"/>
      <c r="K53" s="320"/>
    </row>
    <row r="54" spans="1:11" ht="15.75" x14ac:dyDescent="0.25">
      <c r="A54" s="81"/>
      <c r="B54" s="81"/>
      <c r="C54" s="75">
        <f>C51+C52+C53</f>
        <v>52000</v>
      </c>
      <c r="D54" s="75"/>
      <c r="E54" s="75"/>
      <c r="F54" s="75"/>
      <c r="H54" s="95">
        <f>$C$54*H51</f>
        <v>26000</v>
      </c>
      <c r="K54" s="95">
        <f>$C$54*K51</f>
        <v>26000</v>
      </c>
    </row>
    <row r="56" spans="1:11" ht="15.75" x14ac:dyDescent="0.25">
      <c r="A56" s="82" t="s">
        <v>151</v>
      </c>
      <c r="H56" s="213">
        <f>+H19-260000</f>
        <v>-34829.817997577746</v>
      </c>
      <c r="K56" s="213">
        <f>+K19-260000</f>
        <v>-34829.817997577746</v>
      </c>
    </row>
    <row r="57" spans="1:11" x14ac:dyDescent="0.2">
      <c r="H57" s="213"/>
      <c r="K57" s="213"/>
    </row>
    <row r="58" spans="1:11" x14ac:dyDescent="0.2">
      <c r="H58" s="213"/>
      <c r="K58" s="213"/>
    </row>
    <row r="59" spans="1:11" ht="16.5" thickBot="1" x14ac:dyDescent="0.3">
      <c r="A59" s="212" t="str">
        <f>+A19</f>
        <v>Payroll Salary &amp; Wages</v>
      </c>
      <c r="H59" s="214">
        <f>+H39+H44+H49+H54+H56</f>
        <v>225170.18200242225</v>
      </c>
      <c r="K59" s="214">
        <f>+K39+K44+K49+K54+K56</f>
        <v>225170.18200242225</v>
      </c>
    </row>
    <row r="60" spans="1:11" ht="15.75" thickTop="1" x14ac:dyDescent="0.2"/>
  </sheetData>
  <mergeCells count="12">
    <mergeCell ref="E4:F4"/>
    <mergeCell ref="E3:L3"/>
    <mergeCell ref="H51:H53"/>
    <mergeCell ref="K51:K53"/>
    <mergeCell ref="H36:H38"/>
    <mergeCell ref="K36:K38"/>
    <mergeCell ref="H41:H43"/>
    <mergeCell ref="K41:K43"/>
    <mergeCell ref="H46:H48"/>
    <mergeCell ref="K46:K48"/>
    <mergeCell ref="H4:I4"/>
    <mergeCell ref="K4:L4"/>
  </mergeCells>
  <pageMargins left="0.7" right="0.7" top="0.75" bottom="0.75" header="0.3" footer="0.3"/>
  <pageSetup scale="51" orientation="landscape" horizontalDpi="0" verticalDpi="0"/>
  <headerFooter>
    <oddFooter>&amp;L&amp;"Calibri,Regular"&amp;K000000&amp;D&amp;R&amp;"Calibri,Regular"&amp;K000000&amp;F&amp;A</oddFooter>
  </headerFooter>
  <colBreaks count="1" manualBreakCount="1">
    <brk id="14" max="46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Spinner 3">
              <controlPr defaultSize="0" autoPict="0">
                <anchor moveWithCells="1" sizeWithCells="1">
                  <from>
                    <xdr:col>11</xdr:col>
                    <xdr:colOff>314325</xdr:colOff>
                    <xdr:row>27</xdr:row>
                    <xdr:rowOff>66675</xdr:rowOff>
                  </from>
                  <to>
                    <xdr:col>11</xdr:col>
                    <xdr:colOff>752475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8</xdr:col>
                    <xdr:colOff>304800</xdr:colOff>
                    <xdr:row>27</xdr:row>
                    <xdr:rowOff>114300</xdr:rowOff>
                  </from>
                  <to>
                    <xdr:col>8</xdr:col>
                    <xdr:colOff>771525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N85"/>
  <sheetViews>
    <sheetView topLeftCell="A28" workbookViewId="0">
      <selection activeCell="AK53" sqref="AK53"/>
    </sheetView>
  </sheetViews>
  <sheetFormatPr defaultColWidth="9.140625" defaultRowHeight="15" outlineLevelRow="1" x14ac:dyDescent="0.25"/>
  <cols>
    <col min="1" max="5" width="1.42578125" style="127" customWidth="1"/>
    <col min="6" max="6" width="27.7109375" style="127" customWidth="1"/>
    <col min="7" max="10" width="13.7109375" style="128" hidden="1" customWidth="1"/>
    <col min="11" max="11" width="13.7109375" style="129" hidden="1" customWidth="1"/>
    <col min="12" max="12" width="22.28515625" style="128" customWidth="1"/>
    <col min="13" max="24" width="9.7109375" style="128" hidden="1" customWidth="1"/>
    <col min="25" max="30" width="9.140625" style="128"/>
    <col min="31" max="31" width="10" style="128" customWidth="1"/>
    <col min="32" max="16384" width="9.140625" style="128"/>
  </cols>
  <sheetData>
    <row r="1" spans="1:33" ht="15.75" x14ac:dyDescent="0.25">
      <c r="A1" s="126" t="s">
        <v>178</v>
      </c>
    </row>
    <row r="2" spans="1:33" ht="18.75" x14ac:dyDescent="0.3">
      <c r="A2" s="130" t="s">
        <v>45</v>
      </c>
      <c r="L2" s="231" t="s">
        <v>178</v>
      </c>
    </row>
    <row r="3" spans="1:33" ht="6.75" customHeight="1" x14ac:dyDescent="0.25">
      <c r="A3" s="132" t="s">
        <v>46</v>
      </c>
    </row>
    <row r="4" spans="1:33" s="136" customFormat="1" ht="15.75" thickBot="1" x14ac:dyDescent="0.3">
      <c r="A4" s="133"/>
      <c r="B4" s="133"/>
      <c r="C4" s="133"/>
      <c r="D4" s="133"/>
      <c r="E4" s="133"/>
      <c r="F4" s="133"/>
      <c r="G4" s="134"/>
      <c r="H4" s="134"/>
      <c r="I4" s="134"/>
      <c r="J4" s="134"/>
      <c r="K4" s="135"/>
      <c r="L4" s="330" t="s">
        <v>47</v>
      </c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</row>
    <row r="5" spans="1:33" s="143" customFormat="1" ht="46.5" thickTop="1" thickBot="1" x14ac:dyDescent="0.3">
      <c r="A5" s="137"/>
      <c r="B5" s="137"/>
      <c r="C5" s="137"/>
      <c r="D5" s="137"/>
      <c r="E5" s="137"/>
      <c r="F5" s="137" t="str">
        <f>+A1</f>
        <v>Niagara Falls Blvd</v>
      </c>
      <c r="G5" s="138" t="s">
        <v>48</v>
      </c>
      <c r="H5" s="139" t="s">
        <v>49</v>
      </c>
      <c r="I5" s="139" t="s">
        <v>50</v>
      </c>
      <c r="J5" s="139" t="s">
        <v>51</v>
      </c>
      <c r="K5" s="140" t="s">
        <v>52</v>
      </c>
      <c r="L5" s="141" t="s">
        <v>53</v>
      </c>
      <c r="M5" s="138" t="s">
        <v>54</v>
      </c>
      <c r="N5" s="138" t="s">
        <v>55</v>
      </c>
      <c r="O5" s="138" t="s">
        <v>56</v>
      </c>
      <c r="P5" s="138" t="s">
        <v>57</v>
      </c>
      <c r="Q5" s="138" t="s">
        <v>58</v>
      </c>
      <c r="R5" s="138" t="s">
        <v>59</v>
      </c>
      <c r="S5" s="138" t="s">
        <v>60</v>
      </c>
      <c r="T5" s="138" t="s">
        <v>61</v>
      </c>
      <c r="U5" s="138" t="s">
        <v>62</v>
      </c>
      <c r="V5" s="138" t="s">
        <v>63</v>
      </c>
      <c r="W5" s="138" t="s">
        <v>64</v>
      </c>
      <c r="X5" s="142" t="s">
        <v>65</v>
      </c>
    </row>
    <row r="6" spans="1:33" ht="15.75" thickTop="1" x14ac:dyDescent="0.25">
      <c r="A6" s="133"/>
      <c r="B6" s="133"/>
      <c r="C6" s="133"/>
      <c r="D6" s="133" t="s">
        <v>66</v>
      </c>
      <c r="E6" s="133"/>
      <c r="F6" s="133"/>
      <c r="G6" s="144"/>
      <c r="H6" s="144"/>
      <c r="I6" s="144"/>
      <c r="J6" s="144"/>
      <c r="K6" s="145"/>
      <c r="L6" s="146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</row>
    <row r="7" spans="1:33" x14ac:dyDescent="0.25">
      <c r="A7" s="133"/>
      <c r="B7" s="133"/>
      <c r="C7" s="133"/>
      <c r="D7" s="133"/>
      <c r="E7" s="133" t="s">
        <v>67</v>
      </c>
      <c r="F7" s="133"/>
      <c r="G7" s="144"/>
      <c r="H7" s="144"/>
      <c r="I7" s="144">
        <f>G7+H7</f>
        <v>0</v>
      </c>
      <c r="J7" s="144"/>
      <c r="K7" s="145">
        <f>I7-J7</f>
        <v>0</v>
      </c>
      <c r="L7" s="146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8"/>
    </row>
    <row r="8" spans="1:33" ht="15.75" x14ac:dyDescent="0.25">
      <c r="A8" s="133"/>
      <c r="B8" s="133"/>
      <c r="C8" s="133"/>
      <c r="D8" s="133"/>
      <c r="E8" s="149" t="s">
        <v>68</v>
      </c>
      <c r="F8" s="133"/>
      <c r="G8" s="144"/>
      <c r="H8" s="144"/>
      <c r="I8" s="144"/>
      <c r="J8" s="144"/>
      <c r="K8" s="145"/>
      <c r="L8" s="146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8"/>
      <c r="AB8" s="297" t="s">
        <v>184</v>
      </c>
      <c r="AC8" s="297"/>
    </row>
    <row r="9" spans="1:33" s="136" customFormat="1" ht="15.75" x14ac:dyDescent="0.25">
      <c r="A9" s="133"/>
      <c r="B9" s="133"/>
      <c r="C9" s="133"/>
      <c r="D9" s="133"/>
      <c r="E9" s="133" t="s">
        <v>69</v>
      </c>
      <c r="F9" s="133"/>
      <c r="G9" s="144"/>
      <c r="H9" s="144"/>
      <c r="I9" s="144"/>
      <c r="J9" s="144"/>
      <c r="K9" s="150"/>
      <c r="L9" s="146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8"/>
      <c r="AB9" s="297"/>
      <c r="AC9" s="297"/>
    </row>
    <row r="10" spans="1:33" ht="15.75" x14ac:dyDescent="0.25">
      <c r="A10" s="133"/>
      <c r="B10" s="133"/>
      <c r="C10" s="133"/>
      <c r="D10" s="133"/>
      <c r="E10" s="133" t="s">
        <v>70</v>
      </c>
      <c r="F10" s="133"/>
      <c r="G10" s="144"/>
      <c r="H10" s="144"/>
      <c r="I10" s="144"/>
      <c r="J10" s="144"/>
      <c r="K10" s="145">
        <f t="shared" ref="K10:K19" si="0">I10-J10</f>
        <v>0</v>
      </c>
      <c r="L10" s="151">
        <f>+'Niagara Falls &amp; South Consol'!H6</f>
        <v>542150.91736462479</v>
      </c>
      <c r="M10" s="152">
        <v>35100</v>
      </c>
      <c r="N10" s="152">
        <v>36700</v>
      </c>
      <c r="O10" s="152">
        <v>30600</v>
      </c>
      <c r="P10" s="152">
        <v>32900</v>
      </c>
      <c r="Q10" s="152">
        <v>35200</v>
      </c>
      <c r="R10" s="152">
        <v>20000</v>
      </c>
      <c r="S10" s="152">
        <v>30600</v>
      </c>
      <c r="T10" s="152">
        <v>28600</v>
      </c>
      <c r="U10" s="152">
        <v>26500</v>
      </c>
      <c r="V10" s="152">
        <v>28100</v>
      </c>
      <c r="W10" s="152">
        <v>40100</v>
      </c>
      <c r="X10" s="152">
        <v>25900</v>
      </c>
      <c r="Y10" s="153" t="s">
        <v>71</v>
      </c>
      <c r="AB10" s="298">
        <f>+'Niagara Falls &amp; South Consol'!I25</f>
        <v>0.1</v>
      </c>
      <c r="AC10" s="297"/>
      <c r="AG10" s="128">
        <f>+L10</f>
        <v>542150.91736462479</v>
      </c>
    </row>
    <row r="11" spans="1:33" x14ac:dyDescent="0.25">
      <c r="A11" s="133"/>
      <c r="B11" s="133"/>
      <c r="C11" s="133"/>
      <c r="D11" s="133"/>
      <c r="E11" s="133" t="s">
        <v>72</v>
      </c>
      <c r="F11" s="133"/>
      <c r="G11" s="144"/>
      <c r="H11" s="144"/>
      <c r="I11" s="144"/>
      <c r="J11" s="144"/>
      <c r="K11" s="145">
        <f t="shared" si="0"/>
        <v>0</v>
      </c>
      <c r="L11" s="146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</row>
    <row r="12" spans="1:33" x14ac:dyDescent="0.25">
      <c r="A12" s="133"/>
      <c r="B12" s="133"/>
      <c r="C12" s="133"/>
      <c r="D12" s="133"/>
      <c r="E12" s="133" t="s">
        <v>73</v>
      </c>
      <c r="F12" s="133"/>
      <c r="G12" s="144"/>
      <c r="H12" s="144"/>
      <c r="I12" s="144"/>
      <c r="J12" s="144"/>
      <c r="K12" s="145">
        <f t="shared" si="0"/>
        <v>0</v>
      </c>
      <c r="L12" s="146">
        <f>SUM(M12:X12)</f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</row>
    <row r="13" spans="1:33" x14ac:dyDescent="0.25">
      <c r="A13" s="133"/>
      <c r="B13" s="133"/>
      <c r="C13" s="133"/>
      <c r="D13" s="133"/>
      <c r="E13" s="149" t="s">
        <v>74</v>
      </c>
      <c r="F13" s="133"/>
      <c r="G13" s="144"/>
      <c r="H13" s="144"/>
      <c r="I13" s="144"/>
      <c r="K13" s="145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</row>
    <row r="14" spans="1:33" x14ac:dyDescent="0.25">
      <c r="A14" s="133"/>
      <c r="B14" s="133"/>
      <c r="C14" s="133"/>
      <c r="D14" s="133"/>
      <c r="E14" s="133" t="s">
        <v>75</v>
      </c>
      <c r="F14" s="133"/>
      <c r="G14" s="144"/>
      <c r="H14" s="144"/>
      <c r="I14" s="144"/>
      <c r="J14" s="144"/>
      <c r="K14" s="145">
        <f t="shared" ref="K14" si="1">I14-J14</f>
        <v>0</v>
      </c>
      <c r="L14" s="146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8"/>
      <c r="Y14" s="155"/>
    </row>
    <row r="15" spans="1:33" x14ac:dyDescent="0.25">
      <c r="A15" s="133"/>
      <c r="B15" s="133"/>
      <c r="C15" s="133"/>
      <c r="D15" s="133"/>
      <c r="E15" s="133" t="s">
        <v>76</v>
      </c>
      <c r="F15" s="133"/>
      <c r="G15" s="144"/>
      <c r="H15" s="144"/>
      <c r="I15" s="144"/>
      <c r="J15" s="144"/>
      <c r="K15" s="145"/>
      <c r="L15" s="146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</row>
    <row r="16" spans="1:33" x14ac:dyDescent="0.25">
      <c r="A16" s="133"/>
      <c r="B16" s="133"/>
      <c r="C16" s="133"/>
      <c r="D16" s="133"/>
      <c r="E16" s="133" t="s">
        <v>77</v>
      </c>
      <c r="F16" s="133"/>
      <c r="G16" s="144"/>
      <c r="H16" s="144"/>
      <c r="I16" s="144"/>
      <c r="J16" s="144"/>
      <c r="K16" s="145">
        <f t="shared" si="0"/>
        <v>0</v>
      </c>
      <c r="L16" s="156">
        <v>500</v>
      </c>
      <c r="M16" s="157">
        <f>$L16/12</f>
        <v>41.666666666666664</v>
      </c>
      <c r="N16" s="157">
        <f t="shared" ref="N16:X16" si="2">$L16/12</f>
        <v>41.666666666666664</v>
      </c>
      <c r="O16" s="157">
        <f t="shared" si="2"/>
        <v>41.666666666666664</v>
      </c>
      <c r="P16" s="157">
        <f t="shared" si="2"/>
        <v>41.666666666666664</v>
      </c>
      <c r="Q16" s="157">
        <f t="shared" si="2"/>
        <v>41.666666666666664</v>
      </c>
      <c r="R16" s="157">
        <f t="shared" si="2"/>
        <v>41.666666666666664</v>
      </c>
      <c r="S16" s="157">
        <f t="shared" si="2"/>
        <v>41.666666666666664</v>
      </c>
      <c r="T16" s="157">
        <f t="shared" si="2"/>
        <v>41.666666666666664</v>
      </c>
      <c r="U16" s="157">
        <f t="shared" si="2"/>
        <v>41.666666666666664</v>
      </c>
      <c r="V16" s="157">
        <f t="shared" si="2"/>
        <v>41.666666666666664</v>
      </c>
      <c r="W16" s="157">
        <f t="shared" si="2"/>
        <v>41.666666666666664</v>
      </c>
      <c r="X16" s="157">
        <f t="shared" si="2"/>
        <v>41.666666666666664</v>
      </c>
      <c r="Y16" s="158"/>
    </row>
    <row r="17" spans="1:31" x14ac:dyDescent="0.25">
      <c r="A17" s="133"/>
      <c r="B17" s="133"/>
      <c r="C17" s="133"/>
      <c r="D17" s="133"/>
      <c r="E17" s="133" t="s">
        <v>78</v>
      </c>
      <c r="F17" s="133"/>
      <c r="G17" s="144"/>
      <c r="H17" s="144"/>
      <c r="I17" s="144"/>
      <c r="J17" s="144"/>
      <c r="K17" s="145">
        <f t="shared" si="0"/>
        <v>0</v>
      </c>
      <c r="L17" s="146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8"/>
    </row>
    <row r="18" spans="1:31" x14ac:dyDescent="0.25">
      <c r="A18" s="133"/>
      <c r="B18" s="133"/>
      <c r="C18" s="133"/>
      <c r="D18" s="133"/>
      <c r="E18" s="133" t="s">
        <v>79</v>
      </c>
      <c r="F18" s="133"/>
      <c r="G18" s="144"/>
      <c r="H18" s="144"/>
      <c r="I18" s="144"/>
      <c r="J18" s="144"/>
      <c r="K18" s="145">
        <f t="shared" si="0"/>
        <v>0</v>
      </c>
      <c r="L18" s="159">
        <f>SUM(M18:X18)</f>
        <v>400</v>
      </c>
      <c r="M18" s="160"/>
      <c r="N18" s="160"/>
      <c r="O18" s="160">
        <v>100</v>
      </c>
      <c r="P18" s="160"/>
      <c r="Q18" s="160"/>
      <c r="R18" s="160">
        <v>100</v>
      </c>
      <c r="S18" s="160"/>
      <c r="T18" s="160"/>
      <c r="U18" s="160">
        <v>100</v>
      </c>
      <c r="V18" s="160"/>
      <c r="W18" s="160"/>
      <c r="X18" s="160">
        <v>100</v>
      </c>
      <c r="Y18" s="161" t="s">
        <v>80</v>
      </c>
    </row>
    <row r="19" spans="1:31" ht="15.75" thickBot="1" x14ac:dyDescent="0.3">
      <c r="A19" s="133"/>
      <c r="B19" s="133"/>
      <c r="C19" s="133"/>
      <c r="D19" s="133"/>
      <c r="E19" s="133" t="s">
        <v>81</v>
      </c>
      <c r="F19" s="133"/>
      <c r="G19" s="162"/>
      <c r="H19" s="162"/>
      <c r="I19" s="162"/>
      <c r="J19" s="162"/>
      <c r="K19" s="163">
        <f t="shared" si="0"/>
        <v>0</v>
      </c>
      <c r="L19" s="164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</row>
    <row r="20" spans="1:31" x14ac:dyDescent="0.25">
      <c r="A20" s="133"/>
      <c r="B20" s="133"/>
      <c r="C20" s="133"/>
      <c r="D20" s="133" t="s">
        <v>82</v>
      </c>
      <c r="E20" s="133"/>
      <c r="F20" s="133"/>
      <c r="G20" s="144"/>
      <c r="H20" s="144"/>
      <c r="I20" s="144"/>
      <c r="J20" s="144"/>
      <c r="K20" s="145">
        <f>I20-J20</f>
        <v>0</v>
      </c>
      <c r="L20" s="146">
        <f>SUM(L10:L18)</f>
        <v>543050.91736462479</v>
      </c>
      <c r="M20" s="167">
        <f t="shared" ref="M20:X20" si="3">SUM(M7:M19)</f>
        <v>35141.666666666664</v>
      </c>
      <c r="N20" s="167">
        <f t="shared" si="3"/>
        <v>36741.666666666664</v>
      </c>
      <c r="O20" s="167">
        <f t="shared" si="3"/>
        <v>30741.666666666668</v>
      </c>
      <c r="P20" s="167">
        <f t="shared" si="3"/>
        <v>32941.666666666664</v>
      </c>
      <c r="Q20" s="167">
        <f t="shared" si="3"/>
        <v>35241.666666666664</v>
      </c>
      <c r="R20" s="167">
        <f t="shared" si="3"/>
        <v>20141.666666666668</v>
      </c>
      <c r="S20" s="167">
        <f t="shared" si="3"/>
        <v>30641.666666666668</v>
      </c>
      <c r="T20" s="167">
        <f t="shared" si="3"/>
        <v>28641.666666666668</v>
      </c>
      <c r="U20" s="167">
        <f t="shared" si="3"/>
        <v>26641.666666666668</v>
      </c>
      <c r="V20" s="167">
        <f t="shared" si="3"/>
        <v>28141.666666666668</v>
      </c>
      <c r="W20" s="167">
        <f t="shared" si="3"/>
        <v>40141.666666666664</v>
      </c>
      <c r="X20" s="168">
        <f t="shared" si="3"/>
        <v>26041.666666666668</v>
      </c>
    </row>
    <row r="21" spans="1:31" x14ac:dyDescent="0.25">
      <c r="A21" s="133"/>
      <c r="B21" s="133"/>
      <c r="C21" s="133"/>
      <c r="D21" s="133" t="s">
        <v>83</v>
      </c>
      <c r="E21" s="133"/>
      <c r="F21" s="133"/>
      <c r="G21" s="144"/>
      <c r="H21" s="144"/>
      <c r="I21" s="144"/>
      <c r="J21" s="144"/>
      <c r="K21" s="145"/>
      <c r="L21" s="169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1"/>
    </row>
    <row r="22" spans="1:31" x14ac:dyDescent="0.25">
      <c r="A22" s="133"/>
      <c r="B22" s="133"/>
      <c r="C22" s="133"/>
      <c r="D22" s="133"/>
      <c r="E22" s="133" t="s">
        <v>84</v>
      </c>
      <c r="F22" s="133"/>
      <c r="G22" s="144"/>
      <c r="H22" s="144"/>
      <c r="I22" s="144"/>
      <c r="J22" s="144"/>
      <c r="K22" s="145">
        <f t="shared" ref="K22:K30" si="4">I22-J22</f>
        <v>0</v>
      </c>
      <c r="L22" s="169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</row>
    <row r="23" spans="1:31" x14ac:dyDescent="0.25">
      <c r="A23" s="133"/>
      <c r="B23" s="133"/>
      <c r="C23" s="133"/>
      <c r="D23" s="133"/>
      <c r="E23" s="149" t="s">
        <v>85</v>
      </c>
      <c r="F23" s="133"/>
      <c r="G23" s="144"/>
      <c r="H23" s="144"/>
      <c r="I23" s="144"/>
      <c r="J23" s="144"/>
      <c r="K23" s="145"/>
      <c r="L23" s="169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1"/>
    </row>
    <row r="24" spans="1:31" x14ac:dyDescent="0.25">
      <c r="A24" s="133"/>
      <c r="B24" s="133"/>
      <c r="C24" s="133"/>
      <c r="D24" s="133"/>
      <c r="E24" s="133" t="s">
        <v>86</v>
      </c>
      <c r="F24" s="133"/>
      <c r="G24" s="144"/>
      <c r="H24" s="144"/>
      <c r="I24" s="144"/>
      <c r="J24" s="144"/>
      <c r="K24" s="145">
        <f t="shared" si="4"/>
        <v>0</v>
      </c>
      <c r="L24" s="169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1"/>
    </row>
    <row r="25" spans="1:31" x14ac:dyDescent="0.25">
      <c r="A25" s="133"/>
      <c r="B25" s="133"/>
      <c r="C25" s="133"/>
      <c r="D25" s="133"/>
      <c r="E25" s="133" t="s">
        <v>87</v>
      </c>
      <c r="F25" s="133"/>
      <c r="G25" s="144"/>
      <c r="H25" s="144"/>
      <c r="I25" s="144"/>
      <c r="J25" s="144"/>
      <c r="K25" s="145">
        <f t="shared" si="4"/>
        <v>0</v>
      </c>
      <c r="L25" s="169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1"/>
    </row>
    <row r="26" spans="1:31" x14ac:dyDescent="0.25">
      <c r="A26" s="133"/>
      <c r="B26" s="133"/>
      <c r="C26" s="133"/>
      <c r="D26" s="133"/>
      <c r="E26" s="133" t="s">
        <v>88</v>
      </c>
      <c r="F26" s="133"/>
      <c r="G26" s="144"/>
      <c r="H26" s="144"/>
      <c r="I26" s="144"/>
      <c r="J26" s="144"/>
      <c r="K26" s="145">
        <f t="shared" si="4"/>
        <v>0</v>
      </c>
      <c r="L26" s="169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1"/>
    </row>
    <row r="27" spans="1:31" x14ac:dyDescent="0.25">
      <c r="A27" s="133"/>
      <c r="B27" s="133"/>
      <c r="C27" s="133"/>
      <c r="D27" s="133"/>
      <c r="E27" s="133" t="s">
        <v>89</v>
      </c>
      <c r="F27" s="133"/>
      <c r="G27" s="144"/>
      <c r="H27" s="144"/>
      <c r="I27" s="144"/>
      <c r="J27" s="144"/>
      <c r="K27" s="145">
        <f t="shared" si="4"/>
        <v>0</v>
      </c>
      <c r="L27" s="169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1"/>
    </row>
    <row r="28" spans="1:31" x14ac:dyDescent="0.25">
      <c r="A28" s="133"/>
      <c r="B28" s="133"/>
      <c r="C28" s="133"/>
      <c r="D28" s="133"/>
      <c r="E28" s="133" t="s">
        <v>90</v>
      </c>
      <c r="F28" s="133"/>
      <c r="G28" s="144"/>
      <c r="H28" s="144"/>
      <c r="I28" s="144"/>
      <c r="J28" s="144"/>
      <c r="K28" s="145">
        <f t="shared" si="4"/>
        <v>0</v>
      </c>
      <c r="L28" s="169">
        <f>+L10*0.013</f>
        <v>7047.9619257401218</v>
      </c>
      <c r="M28" s="154">
        <f t="shared" ref="M28:X28" si="5">M10*0.013</f>
        <v>456.29999999999995</v>
      </c>
      <c r="N28" s="154">
        <f t="shared" si="5"/>
        <v>477.09999999999997</v>
      </c>
      <c r="O28" s="154">
        <f t="shared" si="5"/>
        <v>397.79999999999995</v>
      </c>
      <c r="P28" s="154">
        <f t="shared" si="5"/>
        <v>427.7</v>
      </c>
      <c r="Q28" s="154">
        <f t="shared" si="5"/>
        <v>457.59999999999997</v>
      </c>
      <c r="R28" s="154">
        <f t="shared" si="5"/>
        <v>260</v>
      </c>
      <c r="S28" s="154">
        <f t="shared" si="5"/>
        <v>397.79999999999995</v>
      </c>
      <c r="T28" s="154">
        <f t="shared" si="5"/>
        <v>371.79999999999995</v>
      </c>
      <c r="U28" s="154">
        <f t="shared" si="5"/>
        <v>344.5</v>
      </c>
      <c r="V28" s="154">
        <v>8</v>
      </c>
      <c r="W28" s="154">
        <f t="shared" si="5"/>
        <v>521.29999999999995</v>
      </c>
      <c r="X28" s="154">
        <f t="shared" si="5"/>
        <v>336.7</v>
      </c>
      <c r="Y28" s="128" t="s">
        <v>91</v>
      </c>
    </row>
    <row r="29" spans="1:31" x14ac:dyDescent="0.25">
      <c r="A29" s="133"/>
      <c r="B29" s="133"/>
      <c r="C29" s="133"/>
      <c r="D29" s="133"/>
      <c r="E29" s="133" t="s">
        <v>92</v>
      </c>
      <c r="F29" s="133"/>
      <c r="G29" s="144"/>
      <c r="H29" s="144"/>
      <c r="I29" s="144"/>
      <c r="J29" s="144"/>
      <c r="K29" s="145">
        <f t="shared" si="4"/>
        <v>0</v>
      </c>
      <c r="L29" s="229">
        <f>SUM(N29:X29)</f>
        <v>16500</v>
      </c>
      <c r="M29" s="128">
        <v>1500</v>
      </c>
      <c r="N29" s="154">
        <v>1500</v>
      </c>
      <c r="O29" s="154">
        <v>1500</v>
      </c>
      <c r="P29" s="154">
        <v>1500</v>
      </c>
      <c r="Q29" s="154">
        <v>1500</v>
      </c>
      <c r="R29" s="154">
        <v>1500</v>
      </c>
      <c r="S29" s="154">
        <v>1500</v>
      </c>
      <c r="T29" s="154">
        <v>1500</v>
      </c>
      <c r="U29" s="154">
        <v>1500</v>
      </c>
      <c r="V29" s="154">
        <v>1500</v>
      </c>
      <c r="W29" s="154">
        <v>1500</v>
      </c>
      <c r="X29" s="154">
        <v>1500</v>
      </c>
      <c r="Y29" s="128" t="s">
        <v>93</v>
      </c>
    </row>
    <row r="30" spans="1:31" ht="15.75" thickBot="1" x14ac:dyDescent="0.3">
      <c r="A30" s="133"/>
      <c r="B30" s="133"/>
      <c r="C30" s="133"/>
      <c r="D30" s="133"/>
      <c r="E30" s="133" t="s">
        <v>94</v>
      </c>
      <c r="F30" s="133"/>
      <c r="G30" s="144"/>
      <c r="H30" s="144"/>
      <c r="I30" s="144"/>
      <c r="J30" s="144"/>
      <c r="K30" s="145">
        <f t="shared" si="4"/>
        <v>0</v>
      </c>
      <c r="L30" s="172">
        <f>SUM(M30:X30)</f>
        <v>1200</v>
      </c>
      <c r="M30" s="154">
        <v>100</v>
      </c>
      <c r="N30" s="154">
        <v>100</v>
      </c>
      <c r="O30" s="154">
        <v>100</v>
      </c>
      <c r="P30" s="154">
        <v>100</v>
      </c>
      <c r="Q30" s="154">
        <v>100</v>
      </c>
      <c r="R30" s="154">
        <v>100</v>
      </c>
      <c r="S30" s="154">
        <v>100</v>
      </c>
      <c r="T30" s="154">
        <v>100</v>
      </c>
      <c r="U30" s="154">
        <v>100</v>
      </c>
      <c r="V30" s="154">
        <v>100</v>
      </c>
      <c r="W30" s="154">
        <v>100</v>
      </c>
      <c r="X30" s="154">
        <v>100</v>
      </c>
      <c r="Y30" s="128" t="s">
        <v>95</v>
      </c>
    </row>
    <row r="31" spans="1:31" ht="15.75" thickBot="1" x14ac:dyDescent="0.3">
      <c r="A31" s="133"/>
      <c r="B31" s="133"/>
      <c r="C31" s="133"/>
      <c r="D31" s="133" t="s">
        <v>96</v>
      </c>
      <c r="E31" s="133"/>
      <c r="F31" s="133"/>
      <c r="G31" s="173"/>
      <c r="H31" s="173"/>
      <c r="I31" s="173"/>
      <c r="J31" s="173"/>
      <c r="K31" s="174">
        <f>ROUND(SUM(K21:K30),5)</f>
        <v>0</v>
      </c>
      <c r="L31" s="175">
        <f>SUM(L28:L30)</f>
        <v>24747.961925740121</v>
      </c>
      <c r="M31" s="176">
        <f>SUM(M22:M30)</f>
        <v>2056.3000000000002</v>
      </c>
      <c r="N31" s="176">
        <f t="shared" ref="N31:X31" si="6">SUM(N22:N30)</f>
        <v>2077.1</v>
      </c>
      <c r="O31" s="176">
        <f t="shared" si="6"/>
        <v>1997.8</v>
      </c>
      <c r="P31" s="176">
        <f t="shared" si="6"/>
        <v>2027.7</v>
      </c>
      <c r="Q31" s="176">
        <f t="shared" si="6"/>
        <v>2057.6</v>
      </c>
      <c r="R31" s="176">
        <f t="shared" si="6"/>
        <v>1860</v>
      </c>
      <c r="S31" s="176">
        <f t="shared" si="6"/>
        <v>1997.8</v>
      </c>
      <c r="T31" s="176">
        <f t="shared" si="6"/>
        <v>1971.8</v>
      </c>
      <c r="U31" s="176">
        <f t="shared" si="6"/>
        <v>1944.5</v>
      </c>
      <c r="V31" s="176">
        <f t="shared" si="6"/>
        <v>1608</v>
      </c>
      <c r="W31" s="176">
        <f t="shared" si="6"/>
        <v>2121.3000000000002</v>
      </c>
      <c r="X31" s="177">
        <f t="shared" si="6"/>
        <v>1936.7</v>
      </c>
      <c r="AD31" s="224"/>
      <c r="AE31" s="128" t="s">
        <v>194</v>
      </c>
    </row>
    <row r="32" spans="1:31" x14ac:dyDescent="0.25">
      <c r="A32" s="133"/>
      <c r="B32" s="133"/>
      <c r="C32" s="133" t="s">
        <v>41</v>
      </c>
      <c r="D32" s="133"/>
      <c r="E32" s="133"/>
      <c r="F32" s="133"/>
      <c r="G32" s="144"/>
      <c r="H32" s="144"/>
      <c r="I32" s="144"/>
      <c r="J32" s="144"/>
      <c r="K32" s="145">
        <f t="shared" ref="K32:X32" si="7">ROUND(K20-K31,5)</f>
        <v>0</v>
      </c>
      <c r="L32" s="178">
        <f t="shared" si="7"/>
        <v>518302.95543999999</v>
      </c>
      <c r="M32" s="167">
        <f t="shared" si="7"/>
        <v>33085.366670000003</v>
      </c>
      <c r="N32" s="167">
        <f t="shared" si="7"/>
        <v>34664.56667</v>
      </c>
      <c r="O32" s="167">
        <f t="shared" si="7"/>
        <v>28743.866669999999</v>
      </c>
      <c r="P32" s="167">
        <f t="shared" si="7"/>
        <v>30913.966670000002</v>
      </c>
      <c r="Q32" s="167">
        <f t="shared" si="7"/>
        <v>33184.06667</v>
      </c>
      <c r="R32" s="167">
        <f t="shared" si="7"/>
        <v>18281.666669999999</v>
      </c>
      <c r="S32" s="167">
        <f t="shared" si="7"/>
        <v>28643.866669999999</v>
      </c>
      <c r="T32" s="167">
        <f t="shared" si="7"/>
        <v>26669.866669999999</v>
      </c>
      <c r="U32" s="167">
        <f t="shared" si="7"/>
        <v>24697.166669999999</v>
      </c>
      <c r="V32" s="167">
        <f t="shared" si="7"/>
        <v>26533.666669999999</v>
      </c>
      <c r="W32" s="167">
        <f t="shared" si="7"/>
        <v>38020.366670000003</v>
      </c>
      <c r="X32" s="179">
        <f t="shared" si="7"/>
        <v>24104.966670000002</v>
      </c>
    </row>
    <row r="33" spans="1:40" x14ac:dyDescent="0.25">
      <c r="A33" s="133"/>
      <c r="B33" s="133"/>
      <c r="C33" s="133"/>
      <c r="D33" s="133" t="s">
        <v>6</v>
      </c>
      <c r="E33" s="133"/>
      <c r="F33" s="133"/>
      <c r="G33" s="144"/>
      <c r="H33" s="144"/>
      <c r="I33" s="144"/>
      <c r="J33" s="144"/>
      <c r="K33" s="145"/>
      <c r="L33" s="146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1"/>
    </row>
    <row r="34" spans="1:40" x14ac:dyDescent="0.25">
      <c r="A34" s="133"/>
      <c r="B34" s="133"/>
      <c r="C34" s="133"/>
      <c r="D34" s="133"/>
      <c r="E34" s="133" t="s">
        <v>97</v>
      </c>
      <c r="F34" s="133"/>
      <c r="G34" s="144"/>
      <c r="H34" s="144"/>
      <c r="I34" s="144"/>
      <c r="J34" s="144"/>
      <c r="K34" s="145">
        <f t="shared" ref="K34:K77" si="8">I34-J34</f>
        <v>0</v>
      </c>
      <c r="L34" s="146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1"/>
    </row>
    <row r="35" spans="1:40" outlineLevel="1" x14ac:dyDescent="0.25">
      <c r="A35" s="133"/>
      <c r="B35" s="133"/>
      <c r="C35" s="133"/>
      <c r="D35" s="133"/>
      <c r="E35" s="133"/>
      <c r="F35" s="133" t="s">
        <v>98</v>
      </c>
      <c r="G35" s="144"/>
      <c r="H35" s="144"/>
      <c r="I35" s="144"/>
      <c r="J35" s="144"/>
      <c r="K35" s="145">
        <f t="shared" si="8"/>
        <v>0</v>
      </c>
      <c r="L35" s="224">
        <v>2600</v>
      </c>
      <c r="M35" s="180">
        <f>$L35/12</f>
        <v>216.66666666666666</v>
      </c>
      <c r="N35" s="180">
        <f t="shared" ref="N35:X35" si="9">$L35/12</f>
        <v>216.66666666666666</v>
      </c>
      <c r="O35" s="180">
        <f t="shared" si="9"/>
        <v>216.66666666666666</v>
      </c>
      <c r="P35" s="180">
        <f t="shared" si="9"/>
        <v>216.66666666666666</v>
      </c>
      <c r="Q35" s="180">
        <f t="shared" si="9"/>
        <v>216.66666666666666</v>
      </c>
      <c r="R35" s="180">
        <f t="shared" si="9"/>
        <v>216.66666666666666</v>
      </c>
      <c r="S35" s="180">
        <f t="shared" si="9"/>
        <v>216.66666666666666</v>
      </c>
      <c r="T35" s="180">
        <f t="shared" si="9"/>
        <v>216.66666666666666</v>
      </c>
      <c r="U35" s="180">
        <f t="shared" si="9"/>
        <v>216.66666666666666</v>
      </c>
      <c r="V35" s="180">
        <f t="shared" si="9"/>
        <v>216.66666666666666</v>
      </c>
      <c r="W35" s="180">
        <f t="shared" si="9"/>
        <v>216.66666666666666</v>
      </c>
      <c r="X35" s="180">
        <f t="shared" si="9"/>
        <v>216.66666666666666</v>
      </c>
      <c r="Y35" s="153" t="s">
        <v>46</v>
      </c>
    </row>
    <row r="36" spans="1:40" outlineLevel="1" x14ac:dyDescent="0.25">
      <c r="A36" s="133"/>
      <c r="B36" s="133"/>
      <c r="C36" s="133"/>
      <c r="D36" s="133"/>
      <c r="E36" s="133"/>
      <c r="F36" s="133" t="s">
        <v>100</v>
      </c>
      <c r="G36" s="144"/>
      <c r="H36" s="144"/>
      <c r="I36" s="144"/>
      <c r="J36" s="144"/>
      <c r="K36" s="145">
        <f t="shared" si="8"/>
        <v>0</v>
      </c>
      <c r="L36" s="146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1"/>
    </row>
    <row r="37" spans="1:40" ht="15.75" outlineLevel="1" thickBot="1" x14ac:dyDescent="0.3">
      <c r="A37" s="133"/>
      <c r="B37" s="133"/>
      <c r="C37" s="133"/>
      <c r="D37" s="133"/>
      <c r="E37" s="133"/>
      <c r="F37" s="133" t="s">
        <v>101</v>
      </c>
      <c r="G37" s="144"/>
      <c r="H37" s="144"/>
      <c r="I37" s="144"/>
      <c r="J37" s="144"/>
      <c r="K37" s="145">
        <f t="shared" si="8"/>
        <v>0</v>
      </c>
      <c r="L37" s="146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1"/>
    </row>
    <row r="38" spans="1:40" x14ac:dyDescent="0.25">
      <c r="A38" s="133"/>
      <c r="B38" s="133"/>
      <c r="C38" s="133"/>
      <c r="D38" s="133"/>
      <c r="E38" s="133" t="s">
        <v>102</v>
      </c>
      <c r="F38" s="133"/>
      <c r="G38" s="144"/>
      <c r="H38" s="144"/>
      <c r="I38" s="144"/>
      <c r="J38" s="144"/>
      <c r="K38" s="145">
        <f t="shared" si="8"/>
        <v>0</v>
      </c>
      <c r="L38" s="146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1"/>
      <c r="AD38" s="301"/>
      <c r="AE38" s="302"/>
      <c r="AF38" s="302"/>
      <c r="AG38" s="302"/>
      <c r="AH38" s="302"/>
      <c r="AI38" s="302"/>
      <c r="AJ38" s="302"/>
      <c r="AK38" s="302"/>
      <c r="AL38" s="302"/>
      <c r="AM38" s="302"/>
      <c r="AN38" s="303"/>
    </row>
    <row r="39" spans="1:40" x14ac:dyDescent="0.25">
      <c r="A39" s="133"/>
      <c r="B39" s="133"/>
      <c r="C39" s="133"/>
      <c r="D39" s="133"/>
      <c r="E39" s="133" t="s">
        <v>103</v>
      </c>
      <c r="F39" s="133"/>
      <c r="G39" s="144"/>
      <c r="H39" s="144"/>
      <c r="I39" s="144"/>
      <c r="J39" s="144"/>
      <c r="K39" s="145">
        <f t="shared" si="8"/>
        <v>0</v>
      </c>
      <c r="L39" s="146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AD39" s="304"/>
      <c r="AE39" s="305"/>
      <c r="AF39" s="305"/>
      <c r="AG39" s="305"/>
      <c r="AH39" s="305"/>
      <c r="AI39" s="305"/>
      <c r="AJ39" s="305"/>
      <c r="AK39" s="305"/>
      <c r="AL39" s="305"/>
      <c r="AM39" s="305"/>
      <c r="AN39" s="306"/>
    </row>
    <row r="40" spans="1:40" x14ac:dyDescent="0.25">
      <c r="A40" s="133"/>
      <c r="B40" s="133"/>
      <c r="C40" s="133"/>
      <c r="D40" s="133"/>
      <c r="E40" s="133" t="s">
        <v>104</v>
      </c>
      <c r="F40" s="133"/>
      <c r="G40" s="144"/>
      <c r="H40" s="144"/>
      <c r="I40" s="144"/>
      <c r="J40" s="144"/>
      <c r="K40" s="145">
        <f t="shared" si="8"/>
        <v>0</v>
      </c>
      <c r="L40" s="146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1"/>
      <c r="AD40" s="304"/>
      <c r="AE40" s="305"/>
      <c r="AF40" s="305"/>
      <c r="AG40" s="305"/>
      <c r="AH40" s="305" t="s">
        <v>190</v>
      </c>
      <c r="AI40" s="305"/>
      <c r="AJ40" s="307">
        <f>+AG47+AG52</f>
        <v>31200</v>
      </c>
      <c r="AK40" s="305">
        <v>15000</v>
      </c>
      <c r="AL40" s="308">
        <f>+AJ40/AK40</f>
        <v>2.08</v>
      </c>
      <c r="AM40" s="309" t="str">
        <f>+AJ54</f>
        <v>per Ed email</v>
      </c>
      <c r="AN40" s="306"/>
    </row>
    <row r="41" spans="1:40" x14ac:dyDescent="0.25">
      <c r="A41" s="133"/>
      <c r="B41" s="133"/>
      <c r="C41" s="133"/>
      <c r="D41" s="133"/>
      <c r="E41" s="133" t="s">
        <v>105</v>
      </c>
      <c r="F41" s="133"/>
      <c r="G41" s="144"/>
      <c r="H41" s="144"/>
      <c r="I41" s="144"/>
      <c r="J41" s="144"/>
      <c r="K41" s="145">
        <f t="shared" si="8"/>
        <v>0</v>
      </c>
      <c r="L41" s="146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1"/>
      <c r="AD41" s="304"/>
      <c r="AE41" s="305"/>
      <c r="AF41" s="305"/>
      <c r="AG41" s="305"/>
      <c r="AH41" s="305" t="s">
        <v>189</v>
      </c>
      <c r="AI41" s="305"/>
      <c r="AJ41" s="310">
        <f>+AG49+AG50</f>
        <v>33750</v>
      </c>
      <c r="AK41" s="305">
        <v>15000</v>
      </c>
      <c r="AL41" s="308">
        <f>+AJ41/AK41</f>
        <v>2.25</v>
      </c>
      <c r="AM41" s="309" t="str">
        <f>+AJ54</f>
        <v>per Ed email</v>
      </c>
      <c r="AN41" s="306"/>
    </row>
    <row r="42" spans="1:40" x14ac:dyDescent="0.25">
      <c r="A42" s="133"/>
      <c r="B42" s="133"/>
      <c r="C42" s="133"/>
      <c r="D42" s="133"/>
      <c r="E42" s="133" t="s">
        <v>106</v>
      </c>
      <c r="F42" s="128"/>
      <c r="G42" s="144"/>
      <c r="H42" s="144"/>
      <c r="I42" s="144"/>
      <c r="J42" s="144"/>
      <c r="K42" s="145">
        <f t="shared" si="8"/>
        <v>0</v>
      </c>
      <c r="L42" s="181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3"/>
      <c r="Y42" s="153" t="s">
        <v>99</v>
      </c>
      <c r="AD42" s="304"/>
      <c r="AE42" s="305"/>
      <c r="AF42" s="305"/>
      <c r="AG42" s="305"/>
      <c r="AH42" s="305" t="s">
        <v>191</v>
      </c>
      <c r="AI42" s="305"/>
      <c r="AJ42" s="311">
        <f>+AG45+AG46+AG51+AG53</f>
        <v>7145.1820000000007</v>
      </c>
      <c r="AK42" s="305">
        <v>15000</v>
      </c>
      <c r="AL42" s="308">
        <f>+AJ42/AK42</f>
        <v>0.47634546666666672</v>
      </c>
      <c r="AM42" s="305" t="s">
        <v>192</v>
      </c>
      <c r="AN42" s="306"/>
    </row>
    <row r="43" spans="1:40" x14ac:dyDescent="0.25">
      <c r="A43" s="133"/>
      <c r="B43" s="133"/>
      <c r="C43" s="133"/>
      <c r="D43" s="133"/>
      <c r="E43" s="133" t="s">
        <v>107</v>
      </c>
      <c r="F43" s="133"/>
      <c r="G43" s="144"/>
      <c r="H43" s="144"/>
      <c r="I43" s="144"/>
      <c r="J43" s="144"/>
      <c r="K43" s="145">
        <f t="shared" si="8"/>
        <v>0</v>
      </c>
      <c r="L43" s="146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1"/>
      <c r="AD43" s="304"/>
      <c r="AE43" s="305"/>
      <c r="AF43" s="305"/>
      <c r="AG43" s="305"/>
      <c r="AH43" s="305"/>
      <c r="AI43" s="305"/>
      <c r="AJ43" s="305"/>
      <c r="AK43" s="305"/>
      <c r="AL43" s="305"/>
      <c r="AM43" s="305"/>
      <c r="AN43" s="306"/>
    </row>
    <row r="44" spans="1:40" ht="17.25" outlineLevel="1" x14ac:dyDescent="0.4">
      <c r="A44" s="133"/>
      <c r="B44" s="133"/>
      <c r="C44" s="133"/>
      <c r="D44" s="133"/>
      <c r="E44" s="133"/>
      <c r="F44" s="133" t="s">
        <v>108</v>
      </c>
      <c r="G44" s="144"/>
      <c r="H44" s="144"/>
      <c r="I44" s="144"/>
      <c r="J44" s="144"/>
      <c r="K44" s="145">
        <f t="shared" si="8"/>
        <v>0</v>
      </c>
      <c r="L44" s="159">
        <f>[1]Supporting!N76</f>
        <v>979.78200000000015</v>
      </c>
      <c r="M44" s="180">
        <f>$L44/12</f>
        <v>81.648500000000013</v>
      </c>
      <c r="N44" s="180">
        <f t="shared" ref="N44:X45" si="10">$L44/12</f>
        <v>81.648500000000013</v>
      </c>
      <c r="O44" s="180">
        <f t="shared" si="10"/>
        <v>81.648500000000013</v>
      </c>
      <c r="P44" s="180">
        <f t="shared" si="10"/>
        <v>81.648500000000013</v>
      </c>
      <c r="Q44" s="180">
        <f t="shared" si="10"/>
        <v>81.648500000000013</v>
      </c>
      <c r="R44" s="180">
        <f t="shared" si="10"/>
        <v>81.648500000000013</v>
      </c>
      <c r="S44" s="180">
        <f t="shared" si="10"/>
        <v>81.648500000000013</v>
      </c>
      <c r="T44" s="180">
        <f t="shared" si="10"/>
        <v>81.648500000000013</v>
      </c>
      <c r="U44" s="180">
        <f t="shared" si="10"/>
        <v>81.648500000000013</v>
      </c>
      <c r="V44" s="180">
        <f t="shared" si="10"/>
        <v>81.648500000000013</v>
      </c>
      <c r="W44" s="180">
        <f t="shared" si="10"/>
        <v>81.648500000000013</v>
      </c>
      <c r="X44" s="180">
        <f t="shared" si="10"/>
        <v>81.648500000000013</v>
      </c>
      <c r="Y44" s="153" t="s">
        <v>99</v>
      </c>
      <c r="AD44" s="304"/>
      <c r="AE44" s="312" t="s">
        <v>8</v>
      </c>
      <c r="AF44" s="305"/>
      <c r="AG44" s="305"/>
      <c r="AH44" s="305"/>
      <c r="AI44" s="305"/>
      <c r="AJ44" s="305"/>
      <c r="AK44" s="305"/>
      <c r="AL44" s="305"/>
      <c r="AM44" s="305"/>
      <c r="AN44" s="306"/>
    </row>
    <row r="45" spans="1:40" outlineLevel="1" x14ac:dyDescent="0.25">
      <c r="A45" s="133"/>
      <c r="B45" s="133"/>
      <c r="C45" s="133"/>
      <c r="D45" s="133"/>
      <c r="E45" s="133"/>
      <c r="F45" s="133" t="s">
        <v>109</v>
      </c>
      <c r="G45" s="144"/>
      <c r="H45" s="144"/>
      <c r="I45" s="144"/>
      <c r="J45" s="144"/>
      <c r="K45" s="145">
        <f t="shared" si="8"/>
        <v>0</v>
      </c>
      <c r="L45" s="159">
        <f>[1]Supporting!N92</f>
        <v>1863.8</v>
      </c>
      <c r="M45" s="180">
        <f>$L45/12</f>
        <v>155.31666666666666</v>
      </c>
      <c r="N45" s="180">
        <f t="shared" si="10"/>
        <v>155.31666666666666</v>
      </c>
      <c r="O45" s="180">
        <f t="shared" si="10"/>
        <v>155.31666666666666</v>
      </c>
      <c r="P45" s="180">
        <f t="shared" si="10"/>
        <v>155.31666666666666</v>
      </c>
      <c r="Q45" s="180">
        <f t="shared" si="10"/>
        <v>155.31666666666666</v>
      </c>
      <c r="R45" s="180">
        <f t="shared" si="10"/>
        <v>155.31666666666666</v>
      </c>
      <c r="S45" s="180">
        <f t="shared" si="10"/>
        <v>155.31666666666666</v>
      </c>
      <c r="T45" s="180">
        <f t="shared" si="10"/>
        <v>155.31666666666666</v>
      </c>
      <c r="U45" s="180">
        <f t="shared" si="10"/>
        <v>155.31666666666666</v>
      </c>
      <c r="V45" s="180">
        <f t="shared" si="10"/>
        <v>155.31666666666666</v>
      </c>
      <c r="W45" s="180">
        <f t="shared" si="10"/>
        <v>155.31666666666666</v>
      </c>
      <c r="X45" s="180">
        <f t="shared" si="10"/>
        <v>155.31666666666666</v>
      </c>
      <c r="Y45" s="153" t="s">
        <v>99</v>
      </c>
      <c r="AD45" s="304"/>
      <c r="AE45" s="305" t="str">
        <f>+F44</f>
        <v>Cell Phones/Telephone</v>
      </c>
      <c r="AF45" s="305"/>
      <c r="AG45" s="311">
        <f>+L44</f>
        <v>979.78200000000015</v>
      </c>
      <c r="AH45" s="305"/>
      <c r="AI45" s="308"/>
      <c r="AJ45" s="305"/>
      <c r="AK45" s="305"/>
      <c r="AL45" s="305">
        <v>979.78200000000015</v>
      </c>
      <c r="AM45" s="305">
        <f>+AG45-AL45</f>
        <v>0</v>
      </c>
      <c r="AN45" s="306"/>
    </row>
    <row r="46" spans="1:40" outlineLevel="1" x14ac:dyDescent="0.25">
      <c r="A46" s="133"/>
      <c r="B46" s="133"/>
      <c r="C46" s="133"/>
      <c r="D46" s="133"/>
      <c r="E46" s="133"/>
      <c r="F46" s="133" t="s">
        <v>110</v>
      </c>
      <c r="G46" s="144"/>
      <c r="H46" s="144"/>
      <c r="I46" s="144"/>
      <c r="J46" s="144"/>
      <c r="K46" s="145">
        <f t="shared" si="8"/>
        <v>0</v>
      </c>
      <c r="L46" s="224">
        <v>20954</v>
      </c>
      <c r="M46" s="180">
        <f t="shared" ref="M46:X49" si="11">$L46/12</f>
        <v>1746.1666666666667</v>
      </c>
      <c r="N46" s="180">
        <f t="shared" si="11"/>
        <v>1746.1666666666667</v>
      </c>
      <c r="O46" s="180">
        <f t="shared" si="11"/>
        <v>1746.1666666666667</v>
      </c>
      <c r="P46" s="180">
        <f t="shared" si="11"/>
        <v>1746.1666666666667</v>
      </c>
      <c r="Q46" s="180">
        <f t="shared" si="11"/>
        <v>1746.1666666666667</v>
      </c>
      <c r="R46" s="180">
        <f t="shared" si="11"/>
        <v>1746.1666666666667</v>
      </c>
      <c r="S46" s="180">
        <f t="shared" si="11"/>
        <v>1746.1666666666667</v>
      </c>
      <c r="T46" s="180">
        <f t="shared" si="11"/>
        <v>1746.1666666666667</v>
      </c>
      <c r="U46" s="180">
        <f t="shared" si="11"/>
        <v>1746.1666666666667</v>
      </c>
      <c r="V46" s="180">
        <f t="shared" si="11"/>
        <v>1746.1666666666667</v>
      </c>
      <c r="W46" s="180">
        <f t="shared" si="11"/>
        <v>1746.1666666666667</v>
      </c>
      <c r="X46" s="180">
        <f t="shared" si="11"/>
        <v>1746.1666666666667</v>
      </c>
      <c r="Y46" s="153" t="s">
        <v>195</v>
      </c>
      <c r="AD46" s="304"/>
      <c r="AE46" s="305" t="str">
        <f>+F45</f>
        <v>Information Technology</v>
      </c>
      <c r="AF46" s="305"/>
      <c r="AG46" s="311">
        <f>+L45</f>
        <v>1863.8</v>
      </c>
      <c r="AH46" s="305"/>
      <c r="AI46" s="308"/>
      <c r="AJ46" s="305"/>
      <c r="AK46" s="305"/>
      <c r="AL46" s="305">
        <v>1863.8</v>
      </c>
      <c r="AM46" s="305">
        <f t="shared" ref="AM46:AM53" si="12">+AG46-AL46</f>
        <v>0</v>
      </c>
      <c r="AN46" s="306"/>
    </row>
    <row r="47" spans="1:40" outlineLevel="1" x14ac:dyDescent="0.25">
      <c r="A47" s="133"/>
      <c r="B47" s="133"/>
      <c r="C47" s="133"/>
      <c r="D47" s="133"/>
      <c r="E47" s="133"/>
      <c r="F47" s="133" t="s">
        <v>111</v>
      </c>
      <c r="G47" s="144"/>
      <c r="H47" s="144"/>
      <c r="I47" s="144"/>
      <c r="J47" s="144"/>
      <c r="K47" s="145">
        <f t="shared" si="8"/>
        <v>0</v>
      </c>
      <c r="L47" s="224">
        <v>150000</v>
      </c>
      <c r="M47" s="180">
        <f t="shared" si="11"/>
        <v>12500</v>
      </c>
      <c r="N47" s="180">
        <f t="shared" si="11"/>
        <v>12500</v>
      </c>
      <c r="O47" s="180">
        <f t="shared" si="11"/>
        <v>12500</v>
      </c>
      <c r="P47" s="180">
        <f t="shared" si="11"/>
        <v>12500</v>
      </c>
      <c r="Q47" s="180">
        <f t="shared" si="11"/>
        <v>12500</v>
      </c>
      <c r="R47" s="180">
        <f t="shared" si="11"/>
        <v>12500</v>
      </c>
      <c r="S47" s="180">
        <f t="shared" si="11"/>
        <v>12500</v>
      </c>
      <c r="T47" s="180">
        <f t="shared" si="11"/>
        <v>12500</v>
      </c>
      <c r="U47" s="180">
        <f t="shared" si="11"/>
        <v>12500</v>
      </c>
      <c r="V47" s="180">
        <f t="shared" si="11"/>
        <v>12500</v>
      </c>
      <c r="W47" s="180">
        <f t="shared" si="11"/>
        <v>12500</v>
      </c>
      <c r="X47" s="180">
        <f t="shared" si="11"/>
        <v>12500</v>
      </c>
      <c r="Y47" s="153" t="s">
        <v>195</v>
      </c>
      <c r="AD47" s="304"/>
      <c r="AE47" s="305" t="str">
        <f>+F46</f>
        <v>Maintenance &amp; Repair</v>
      </c>
      <c r="AF47" s="305"/>
      <c r="AG47" s="307">
        <f>+L46</f>
        <v>20954</v>
      </c>
      <c r="AH47" s="305">
        <v>15000</v>
      </c>
      <c r="AI47" s="308">
        <f>+AG47/AH47</f>
        <v>1.3969333333333334</v>
      </c>
      <c r="AJ47" s="305"/>
      <c r="AK47" s="305"/>
      <c r="AL47" s="305">
        <v>2359.4</v>
      </c>
      <c r="AM47" s="305">
        <f t="shared" si="12"/>
        <v>18594.599999999999</v>
      </c>
      <c r="AN47" s="306"/>
    </row>
    <row r="48" spans="1:40" outlineLevel="1" x14ac:dyDescent="0.25">
      <c r="A48" s="133"/>
      <c r="B48" s="133"/>
      <c r="C48" s="133"/>
      <c r="D48" s="133"/>
      <c r="E48" s="133"/>
      <c r="F48" s="133" t="s">
        <v>112</v>
      </c>
      <c r="G48" s="144"/>
      <c r="H48" s="144"/>
      <c r="I48" s="144"/>
      <c r="J48" s="144"/>
      <c r="K48" s="145">
        <f t="shared" si="8"/>
        <v>0</v>
      </c>
      <c r="L48" s="159">
        <f>[1]Supporting!N106</f>
        <v>4200</v>
      </c>
      <c r="M48" s="180">
        <f t="shared" si="11"/>
        <v>350</v>
      </c>
      <c r="N48" s="180">
        <f t="shared" si="11"/>
        <v>350</v>
      </c>
      <c r="O48" s="180">
        <f t="shared" si="11"/>
        <v>350</v>
      </c>
      <c r="P48" s="180">
        <f t="shared" si="11"/>
        <v>350</v>
      </c>
      <c r="Q48" s="180">
        <f t="shared" si="11"/>
        <v>350</v>
      </c>
      <c r="R48" s="180">
        <f t="shared" si="11"/>
        <v>350</v>
      </c>
      <c r="S48" s="180">
        <f t="shared" si="11"/>
        <v>350</v>
      </c>
      <c r="T48" s="180">
        <f t="shared" si="11"/>
        <v>350</v>
      </c>
      <c r="U48" s="180">
        <f t="shared" si="11"/>
        <v>350</v>
      </c>
      <c r="V48" s="180">
        <f t="shared" si="11"/>
        <v>350</v>
      </c>
      <c r="W48" s="180">
        <f t="shared" si="11"/>
        <v>350</v>
      </c>
      <c r="X48" s="180">
        <f t="shared" si="11"/>
        <v>350</v>
      </c>
      <c r="Y48" s="153" t="s">
        <v>46</v>
      </c>
      <c r="AD48" s="304"/>
      <c r="AE48" s="305" t="str">
        <f t="shared" ref="AE48:AE50" si="13">+F47</f>
        <v>Rent</v>
      </c>
      <c r="AF48" s="305"/>
      <c r="AG48" s="305">
        <f t="shared" ref="AG48:AG50" si="14">+L47</f>
        <v>150000</v>
      </c>
      <c r="AH48" s="305">
        <v>15000</v>
      </c>
      <c r="AI48" s="308">
        <f>+AG48/AH48</f>
        <v>10</v>
      </c>
      <c r="AJ48" s="305"/>
      <c r="AK48" s="305"/>
      <c r="AL48" s="305">
        <v>31663.800000000003</v>
      </c>
      <c r="AM48" s="305">
        <f t="shared" si="12"/>
        <v>118336.2</v>
      </c>
      <c r="AN48" s="306"/>
    </row>
    <row r="49" spans="1:40" outlineLevel="1" x14ac:dyDescent="0.25">
      <c r="A49" s="133"/>
      <c r="B49" s="133"/>
      <c r="C49" s="133"/>
      <c r="D49" s="133"/>
      <c r="E49" s="133"/>
      <c r="F49" s="133" t="s">
        <v>113</v>
      </c>
      <c r="G49" s="144"/>
      <c r="H49" s="144"/>
      <c r="I49" s="144"/>
      <c r="J49" s="144"/>
      <c r="K49" s="145">
        <f t="shared" si="8"/>
        <v>0</v>
      </c>
      <c r="L49" s="224">
        <v>29550</v>
      </c>
      <c r="M49" s="180">
        <f t="shared" si="11"/>
        <v>2462.5</v>
      </c>
      <c r="N49" s="180">
        <f t="shared" si="11"/>
        <v>2462.5</v>
      </c>
      <c r="O49" s="180">
        <f t="shared" si="11"/>
        <v>2462.5</v>
      </c>
      <c r="P49" s="180">
        <f t="shared" si="11"/>
        <v>2462.5</v>
      </c>
      <c r="Q49" s="180">
        <f t="shared" si="11"/>
        <v>2462.5</v>
      </c>
      <c r="R49" s="180">
        <f t="shared" si="11"/>
        <v>2462.5</v>
      </c>
      <c r="S49" s="180">
        <f t="shared" si="11"/>
        <v>2462.5</v>
      </c>
      <c r="T49" s="180">
        <f t="shared" si="11"/>
        <v>2462.5</v>
      </c>
      <c r="U49" s="180">
        <f t="shared" si="11"/>
        <v>2462.5</v>
      </c>
      <c r="V49" s="180">
        <f t="shared" si="11"/>
        <v>2462.5</v>
      </c>
      <c r="W49" s="180">
        <f t="shared" si="11"/>
        <v>2462.5</v>
      </c>
      <c r="X49" s="180">
        <f t="shared" si="11"/>
        <v>2462.5</v>
      </c>
      <c r="Y49" s="153" t="s">
        <v>195</v>
      </c>
      <c r="AD49" s="304"/>
      <c r="AE49" s="305" t="str">
        <f t="shared" si="13"/>
        <v>Trash Pickup</v>
      </c>
      <c r="AF49" s="305"/>
      <c r="AG49" s="310">
        <f t="shared" si="14"/>
        <v>4200</v>
      </c>
      <c r="AH49" s="305">
        <v>15000</v>
      </c>
      <c r="AI49" s="308">
        <f t="shared" ref="AI49:AI52" si="15">+AG49/AH49</f>
        <v>0.28000000000000003</v>
      </c>
      <c r="AJ49" s="305"/>
      <c r="AK49" s="305" t="s">
        <v>46</v>
      </c>
      <c r="AL49" s="305">
        <v>4200</v>
      </c>
      <c r="AM49" s="305">
        <f t="shared" si="12"/>
        <v>0</v>
      </c>
      <c r="AN49" s="306"/>
    </row>
    <row r="50" spans="1:40" x14ac:dyDescent="0.25">
      <c r="A50" s="133"/>
      <c r="B50" s="133"/>
      <c r="C50" s="133"/>
      <c r="D50" s="133"/>
      <c r="E50" s="133" t="s">
        <v>114</v>
      </c>
      <c r="F50" s="133"/>
      <c r="G50" s="144"/>
      <c r="H50" s="144"/>
      <c r="I50" s="144"/>
      <c r="J50" s="144"/>
      <c r="K50" s="145">
        <f t="shared" si="8"/>
        <v>0</v>
      </c>
      <c r="L50" s="184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AD50" s="304"/>
      <c r="AE50" s="305" t="str">
        <f t="shared" si="13"/>
        <v>Utilities</v>
      </c>
      <c r="AF50" s="305"/>
      <c r="AG50" s="310">
        <f t="shared" si="14"/>
        <v>29550</v>
      </c>
      <c r="AH50" s="305">
        <v>15000</v>
      </c>
      <c r="AI50" s="308">
        <f t="shared" si="15"/>
        <v>1.97</v>
      </c>
      <c r="AJ50" s="305"/>
      <c r="AK50" s="305"/>
      <c r="AL50" s="305">
        <v>20230</v>
      </c>
      <c r="AM50" s="305">
        <f t="shared" si="12"/>
        <v>9320</v>
      </c>
      <c r="AN50" s="306"/>
    </row>
    <row r="51" spans="1:40" outlineLevel="1" x14ac:dyDescent="0.25">
      <c r="A51" s="133"/>
      <c r="B51" s="133"/>
      <c r="C51" s="133"/>
      <c r="D51" s="133"/>
      <c r="E51" s="133"/>
      <c r="F51" s="133" t="s">
        <v>115</v>
      </c>
      <c r="G51" s="144"/>
      <c r="H51" s="144"/>
      <c r="I51" s="144"/>
      <c r="J51" s="144"/>
      <c r="K51" s="145">
        <f t="shared" si="8"/>
        <v>0</v>
      </c>
      <c r="L51" s="159">
        <f>[1]Supporting!N117</f>
        <v>4101.6000000000004</v>
      </c>
      <c r="M51" s="180">
        <f>$L51/12</f>
        <v>341.8</v>
      </c>
      <c r="N51" s="180">
        <f t="shared" ref="N51:X53" si="16">$L51/12</f>
        <v>341.8</v>
      </c>
      <c r="O51" s="180">
        <f t="shared" si="16"/>
        <v>341.8</v>
      </c>
      <c r="P51" s="180">
        <f t="shared" si="16"/>
        <v>341.8</v>
      </c>
      <c r="Q51" s="180">
        <f t="shared" si="16"/>
        <v>341.8</v>
      </c>
      <c r="R51" s="180">
        <f t="shared" si="16"/>
        <v>341.8</v>
      </c>
      <c r="S51" s="180">
        <f t="shared" si="16"/>
        <v>341.8</v>
      </c>
      <c r="T51" s="180">
        <f t="shared" si="16"/>
        <v>341.8</v>
      </c>
      <c r="U51" s="180">
        <f t="shared" si="16"/>
        <v>341.8</v>
      </c>
      <c r="V51" s="180">
        <f t="shared" si="16"/>
        <v>341.8</v>
      </c>
      <c r="W51" s="180">
        <f t="shared" si="16"/>
        <v>341.8</v>
      </c>
      <c r="X51" s="180">
        <f t="shared" si="16"/>
        <v>341.8</v>
      </c>
      <c r="Y51" s="153" t="s">
        <v>99</v>
      </c>
      <c r="AD51" s="304"/>
      <c r="AE51" s="305" t="str">
        <f>+F51</f>
        <v>Auto</v>
      </c>
      <c r="AF51" s="305"/>
      <c r="AG51" s="311">
        <f>+L51</f>
        <v>4101.6000000000004</v>
      </c>
      <c r="AH51" s="305" t="s">
        <v>46</v>
      </c>
      <c r="AI51" s="308" t="s">
        <v>46</v>
      </c>
      <c r="AJ51" s="305"/>
      <c r="AK51" s="305"/>
      <c r="AL51" s="305">
        <v>4101.6000000000004</v>
      </c>
      <c r="AM51" s="305">
        <f t="shared" si="12"/>
        <v>0</v>
      </c>
      <c r="AN51" s="306"/>
    </row>
    <row r="52" spans="1:40" outlineLevel="1" x14ac:dyDescent="0.25">
      <c r="A52" s="133"/>
      <c r="B52" s="133"/>
      <c r="C52" s="133"/>
      <c r="D52" s="133"/>
      <c r="E52" s="133"/>
      <c r="F52" s="133" t="s">
        <v>116</v>
      </c>
      <c r="G52" s="144"/>
      <c r="H52" s="144"/>
      <c r="I52" s="144"/>
      <c r="J52" s="144"/>
      <c r="K52" s="145">
        <f t="shared" si="8"/>
        <v>0</v>
      </c>
      <c r="L52" s="224">
        <v>10246</v>
      </c>
      <c r="M52" s="180">
        <f>$L52/12</f>
        <v>853.83333333333337</v>
      </c>
      <c r="N52" s="180">
        <f t="shared" si="16"/>
        <v>853.83333333333337</v>
      </c>
      <c r="O52" s="180">
        <f t="shared" si="16"/>
        <v>853.83333333333337</v>
      </c>
      <c r="P52" s="180">
        <f t="shared" si="16"/>
        <v>853.83333333333337</v>
      </c>
      <c r="Q52" s="180">
        <f t="shared" si="16"/>
        <v>853.83333333333337</v>
      </c>
      <c r="R52" s="180">
        <f t="shared" si="16"/>
        <v>853.83333333333337</v>
      </c>
      <c r="S52" s="180">
        <f t="shared" si="16"/>
        <v>853.83333333333337</v>
      </c>
      <c r="T52" s="180">
        <f t="shared" si="16"/>
        <v>853.83333333333337</v>
      </c>
      <c r="U52" s="180">
        <f t="shared" si="16"/>
        <v>853.83333333333337</v>
      </c>
      <c r="V52" s="180">
        <f t="shared" si="16"/>
        <v>853.83333333333337</v>
      </c>
      <c r="W52" s="180">
        <f t="shared" si="16"/>
        <v>853.83333333333337</v>
      </c>
      <c r="X52" s="180">
        <f t="shared" si="16"/>
        <v>853.83333333333337</v>
      </c>
      <c r="Y52" s="153" t="s">
        <v>195</v>
      </c>
      <c r="AD52" s="304"/>
      <c r="AE52" s="305" t="str">
        <f>+F52</f>
        <v>Commercial Package</v>
      </c>
      <c r="AF52" s="305"/>
      <c r="AG52" s="307">
        <f>+L52</f>
        <v>10246</v>
      </c>
      <c r="AH52" s="305">
        <v>15000</v>
      </c>
      <c r="AI52" s="308">
        <f t="shared" si="15"/>
        <v>0.68306666666666671</v>
      </c>
      <c r="AJ52" s="305"/>
      <c r="AK52" s="305"/>
      <c r="AL52" s="305">
        <v>6245.6</v>
      </c>
      <c r="AM52" s="305">
        <f t="shared" si="12"/>
        <v>4000.3999999999996</v>
      </c>
      <c r="AN52" s="306"/>
    </row>
    <row r="53" spans="1:40" x14ac:dyDescent="0.25">
      <c r="A53" s="133"/>
      <c r="B53" s="133"/>
      <c r="C53" s="133"/>
      <c r="D53" s="133"/>
      <c r="E53" s="133" t="s">
        <v>117</v>
      </c>
      <c r="F53" s="133"/>
      <c r="G53" s="144"/>
      <c r="H53" s="144"/>
      <c r="I53" s="144"/>
      <c r="J53" s="144"/>
      <c r="K53" s="145">
        <f t="shared" si="8"/>
        <v>0</v>
      </c>
      <c r="L53" s="160">
        <v>200</v>
      </c>
      <c r="M53" s="186">
        <f>$L53/12</f>
        <v>16.666666666666668</v>
      </c>
      <c r="N53" s="186">
        <f t="shared" si="16"/>
        <v>16.666666666666668</v>
      </c>
      <c r="O53" s="186">
        <f t="shared" si="16"/>
        <v>16.666666666666668</v>
      </c>
      <c r="P53" s="186">
        <f t="shared" si="16"/>
        <v>16.666666666666668</v>
      </c>
      <c r="Q53" s="186">
        <f t="shared" si="16"/>
        <v>16.666666666666668</v>
      </c>
      <c r="R53" s="186">
        <f t="shared" si="16"/>
        <v>16.666666666666668</v>
      </c>
      <c r="S53" s="186">
        <f t="shared" si="16"/>
        <v>16.666666666666668</v>
      </c>
      <c r="T53" s="186">
        <f t="shared" si="16"/>
        <v>16.666666666666668</v>
      </c>
      <c r="U53" s="186">
        <f t="shared" si="16"/>
        <v>16.666666666666668</v>
      </c>
      <c r="V53" s="186">
        <f t="shared" si="16"/>
        <v>16.666666666666668</v>
      </c>
      <c r="W53" s="186">
        <f t="shared" si="16"/>
        <v>16.666666666666668</v>
      </c>
      <c r="X53" s="186">
        <f t="shared" si="16"/>
        <v>16.666666666666668</v>
      </c>
      <c r="Y53" s="153" t="s">
        <v>118</v>
      </c>
      <c r="AD53" s="304"/>
      <c r="AE53" s="305" t="s">
        <v>154</v>
      </c>
      <c r="AF53" s="305"/>
      <c r="AG53" s="311">
        <f>+L53</f>
        <v>200</v>
      </c>
      <c r="AH53" s="305"/>
      <c r="AI53" s="308"/>
      <c r="AJ53" s="305"/>
      <c r="AK53" s="305"/>
      <c r="AL53" s="305">
        <v>200</v>
      </c>
      <c r="AM53" s="305">
        <f t="shared" si="12"/>
        <v>0</v>
      </c>
      <c r="AN53" s="306"/>
    </row>
    <row r="54" spans="1:40" ht="15.75" thickBot="1" x14ac:dyDescent="0.3">
      <c r="A54" s="133"/>
      <c r="B54" s="133"/>
      <c r="C54" s="133"/>
      <c r="D54" s="133"/>
      <c r="E54" s="133" t="s">
        <v>9</v>
      </c>
      <c r="F54" s="133"/>
      <c r="G54" s="144"/>
      <c r="H54" s="144"/>
      <c r="I54" s="144"/>
      <c r="J54" s="144"/>
      <c r="K54" s="145">
        <f t="shared" si="8"/>
        <v>0</v>
      </c>
      <c r="L54" s="159">
        <f>[2]Salary!$R$37</f>
        <v>176938.59999999998</v>
      </c>
      <c r="M54" s="187">
        <f>$L54/52*4</f>
        <v>13610.661538461536</v>
      </c>
      <c r="N54" s="187">
        <f t="shared" ref="N54:W54" si="17">$L54/52*4</f>
        <v>13610.661538461536</v>
      </c>
      <c r="O54" s="187">
        <f>$L54/52*5</f>
        <v>17013.326923076922</v>
      </c>
      <c r="P54" s="187">
        <f t="shared" si="17"/>
        <v>13610.661538461536</v>
      </c>
      <c r="Q54" s="187">
        <f t="shared" si="17"/>
        <v>13610.661538461536</v>
      </c>
      <c r="R54" s="187">
        <f>$L54/52*5</f>
        <v>17013.326923076922</v>
      </c>
      <c r="S54" s="187">
        <f t="shared" si="17"/>
        <v>13610.661538461536</v>
      </c>
      <c r="T54" s="187">
        <f t="shared" si="17"/>
        <v>13610.661538461536</v>
      </c>
      <c r="U54" s="187">
        <f>$L54/52*5</f>
        <v>17013.326923076922</v>
      </c>
      <c r="V54" s="187">
        <f t="shared" si="17"/>
        <v>13610.661538461536</v>
      </c>
      <c r="W54" s="187">
        <f t="shared" si="17"/>
        <v>13610.661538461536</v>
      </c>
      <c r="X54" s="188">
        <f>$L54/52*5</f>
        <v>17013.326923076922</v>
      </c>
      <c r="Y54" s="153" t="s">
        <v>119</v>
      </c>
      <c r="AD54" s="304"/>
      <c r="AE54" s="305"/>
      <c r="AF54" s="305"/>
      <c r="AG54" s="230">
        <f>SUM(AG45:AG53)</f>
        <v>222095.182</v>
      </c>
      <c r="AH54" s="305"/>
      <c r="AI54" s="299">
        <f>SUM(AI45:AI52)</f>
        <v>14.33</v>
      </c>
      <c r="AJ54" s="309" t="s">
        <v>188</v>
      </c>
      <c r="AK54" s="305"/>
      <c r="AL54" s="305"/>
      <c r="AM54" s="230">
        <f>SUM(AM45:AM53)</f>
        <v>150251.19999999998</v>
      </c>
      <c r="AN54" s="306" t="s">
        <v>193</v>
      </c>
    </row>
    <row r="55" spans="1:40" ht="15.75" outlineLevel="1" thickTop="1" x14ac:dyDescent="0.25">
      <c r="A55" s="133"/>
      <c r="B55" s="133"/>
      <c r="C55" s="133"/>
      <c r="D55" s="133"/>
      <c r="E55" s="133"/>
      <c r="F55" s="133" t="s">
        <v>120</v>
      </c>
      <c r="G55" s="144"/>
      <c r="H55" s="144"/>
      <c r="I55" s="144"/>
      <c r="J55" s="144"/>
      <c r="K55" s="145">
        <f t="shared" si="8"/>
        <v>0</v>
      </c>
      <c r="L55" s="146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1"/>
      <c r="AD55" s="304"/>
      <c r="AE55" s="305"/>
      <c r="AF55" s="305"/>
      <c r="AG55" s="305"/>
      <c r="AH55" s="305"/>
      <c r="AI55" s="305"/>
      <c r="AJ55" s="305"/>
      <c r="AK55" s="305"/>
      <c r="AL55" s="305"/>
      <c r="AM55" s="305"/>
      <c r="AN55" s="306"/>
    </row>
    <row r="56" spans="1:40" ht="15.75" outlineLevel="1" thickBot="1" x14ac:dyDescent="0.3">
      <c r="A56" s="133"/>
      <c r="B56" s="133"/>
      <c r="C56" s="133"/>
      <c r="D56" s="133"/>
      <c r="E56" s="133"/>
      <c r="F56" s="133" t="s">
        <v>121</v>
      </c>
      <c r="G56" s="144"/>
      <c r="H56" s="144"/>
      <c r="I56" s="144"/>
      <c r="J56" s="144"/>
      <c r="K56" s="145">
        <f t="shared" si="8"/>
        <v>0</v>
      </c>
      <c r="L56" s="146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1"/>
      <c r="AD56" s="313"/>
      <c r="AE56" s="314"/>
      <c r="AF56" s="314"/>
      <c r="AG56" s="314"/>
      <c r="AH56" s="314"/>
      <c r="AI56" s="314"/>
      <c r="AJ56" s="314"/>
      <c r="AK56" s="314"/>
      <c r="AL56" s="314"/>
      <c r="AM56" s="314"/>
      <c r="AN56" s="315"/>
    </row>
    <row r="57" spans="1:40" x14ac:dyDescent="0.25">
      <c r="A57" s="133"/>
      <c r="B57" s="133"/>
      <c r="C57" s="133"/>
      <c r="D57" s="133"/>
      <c r="E57" s="133" t="s">
        <v>122</v>
      </c>
      <c r="F57" s="133"/>
      <c r="G57" s="144"/>
      <c r="H57" s="144"/>
      <c r="I57" s="144"/>
      <c r="J57" s="144"/>
      <c r="K57" s="145">
        <f t="shared" si="8"/>
        <v>0</v>
      </c>
      <c r="L57" s="146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1"/>
      <c r="Y57" s="128" t="s">
        <v>123</v>
      </c>
    </row>
    <row r="58" spans="1:40" outlineLevel="1" x14ac:dyDescent="0.25">
      <c r="A58" s="133"/>
      <c r="B58" s="133"/>
      <c r="C58" s="133"/>
      <c r="D58" s="133"/>
      <c r="E58" s="133"/>
      <c r="F58" s="133" t="s">
        <v>124</v>
      </c>
      <c r="G58" s="144"/>
      <c r="H58" s="144"/>
      <c r="I58" s="144"/>
      <c r="J58" s="144"/>
      <c r="K58" s="145">
        <f t="shared" si="8"/>
        <v>0</v>
      </c>
      <c r="L58" s="159">
        <f>[2]Salary!$R$55</f>
        <v>15305.188899999997</v>
      </c>
      <c r="M58" s="187">
        <f>$L58/52*4</f>
        <v>1177.3222230769229</v>
      </c>
      <c r="N58" s="187">
        <f t="shared" ref="N58:W62" si="18">$L58/52*4</f>
        <v>1177.3222230769229</v>
      </c>
      <c r="O58" s="187">
        <f>$L58/52*5</f>
        <v>1471.6527788461535</v>
      </c>
      <c r="P58" s="187">
        <f t="shared" si="18"/>
        <v>1177.3222230769229</v>
      </c>
      <c r="Q58" s="187">
        <f t="shared" si="18"/>
        <v>1177.3222230769229</v>
      </c>
      <c r="R58" s="187">
        <f>$L58/52*5</f>
        <v>1471.6527788461535</v>
      </c>
      <c r="S58" s="187">
        <f t="shared" si="18"/>
        <v>1177.3222230769229</v>
      </c>
      <c r="T58" s="187">
        <f t="shared" si="18"/>
        <v>1177.3222230769229</v>
      </c>
      <c r="U58" s="187">
        <f>$L58/52*5</f>
        <v>1471.6527788461535</v>
      </c>
      <c r="V58" s="187">
        <f t="shared" si="18"/>
        <v>1177.3222230769229</v>
      </c>
      <c r="W58" s="187">
        <f t="shared" si="18"/>
        <v>1177.3222230769229</v>
      </c>
      <c r="X58" s="188">
        <f>$L58/52*5</f>
        <v>1471.6527788461535</v>
      </c>
      <c r="Y58" s="153" t="s">
        <v>119</v>
      </c>
    </row>
    <row r="59" spans="1:40" outlineLevel="1" x14ac:dyDescent="0.25">
      <c r="A59" s="133"/>
      <c r="B59" s="133"/>
      <c r="C59" s="133"/>
      <c r="D59" s="133"/>
      <c r="E59" s="133"/>
      <c r="F59" s="133" t="s">
        <v>125</v>
      </c>
      <c r="G59" s="144"/>
      <c r="H59" s="144"/>
      <c r="I59" s="144"/>
      <c r="J59" s="144"/>
      <c r="K59" s="145">
        <f t="shared" si="8"/>
        <v>0</v>
      </c>
      <c r="L59" s="159">
        <f>[2]Salary!$R$58</f>
        <v>21892.621999999999</v>
      </c>
      <c r="M59" s="187">
        <f>$L59/52*4</f>
        <v>1684.0478461538462</v>
      </c>
      <c r="N59" s="187">
        <f t="shared" si="18"/>
        <v>1684.0478461538462</v>
      </c>
      <c r="O59" s="187">
        <f>$L59/52*5</f>
        <v>2105.0598076923079</v>
      </c>
      <c r="P59" s="187">
        <f t="shared" si="18"/>
        <v>1684.0478461538462</v>
      </c>
      <c r="Q59" s="187">
        <f t="shared" si="18"/>
        <v>1684.0478461538462</v>
      </c>
      <c r="R59" s="187">
        <f>$L59/52*5</f>
        <v>2105.0598076923079</v>
      </c>
      <c r="S59" s="187">
        <f t="shared" si="18"/>
        <v>1684.0478461538462</v>
      </c>
      <c r="T59" s="187">
        <f t="shared" si="18"/>
        <v>1684.0478461538462</v>
      </c>
      <c r="U59" s="187">
        <f>$L59/52*5</f>
        <v>2105.0598076923079</v>
      </c>
      <c r="V59" s="187">
        <f t="shared" si="18"/>
        <v>1684.0478461538462</v>
      </c>
      <c r="W59" s="187">
        <f t="shared" si="18"/>
        <v>1684.0478461538462</v>
      </c>
      <c r="X59" s="188">
        <f>$L59/52*5</f>
        <v>2105.0598076923079</v>
      </c>
      <c r="Y59" s="153" t="s">
        <v>119</v>
      </c>
    </row>
    <row r="60" spans="1:40" outlineLevel="1" x14ac:dyDescent="0.25">
      <c r="A60" s="133"/>
      <c r="B60" s="133"/>
      <c r="C60" s="133"/>
      <c r="D60" s="133"/>
      <c r="E60" s="133"/>
      <c r="F60" s="133" t="s">
        <v>126</v>
      </c>
      <c r="G60" s="144"/>
      <c r="H60" s="144"/>
      <c r="I60" s="144"/>
      <c r="J60" s="144"/>
      <c r="K60" s="145">
        <f t="shared" si="8"/>
        <v>0</v>
      </c>
      <c r="L60" s="160"/>
      <c r="M60" s="187">
        <f t="shared" ref="M60:M63" si="19">$L60/52*4</f>
        <v>0</v>
      </c>
      <c r="N60" s="187">
        <f t="shared" si="18"/>
        <v>0</v>
      </c>
      <c r="O60" s="187">
        <f t="shared" ref="O60:O63" si="20">$L60/52*5</f>
        <v>0</v>
      </c>
      <c r="P60" s="187">
        <f t="shared" si="18"/>
        <v>0</v>
      </c>
      <c r="Q60" s="187">
        <f t="shared" si="18"/>
        <v>0</v>
      </c>
      <c r="R60" s="187">
        <f t="shared" ref="R60:R63" si="21">$L60/52*5</f>
        <v>0</v>
      </c>
      <c r="S60" s="187">
        <f t="shared" si="18"/>
        <v>0</v>
      </c>
      <c r="T60" s="187">
        <f t="shared" si="18"/>
        <v>0</v>
      </c>
      <c r="U60" s="187">
        <f t="shared" ref="U60:U63" si="22">$L60/52*5</f>
        <v>0</v>
      </c>
      <c r="V60" s="187">
        <f t="shared" si="18"/>
        <v>0</v>
      </c>
      <c r="W60" s="187">
        <f t="shared" si="18"/>
        <v>0</v>
      </c>
      <c r="X60" s="188">
        <f t="shared" ref="X60:X63" si="23">$L60/52*5</f>
        <v>0</v>
      </c>
      <c r="Y60" s="153" t="s">
        <v>99</v>
      </c>
    </row>
    <row r="61" spans="1:40" x14ac:dyDescent="0.25">
      <c r="A61" s="133"/>
      <c r="B61" s="133"/>
      <c r="C61" s="133"/>
      <c r="D61" s="133"/>
      <c r="E61" s="133" t="s">
        <v>127</v>
      </c>
      <c r="F61" s="128"/>
      <c r="G61" s="144"/>
      <c r="H61" s="144"/>
      <c r="I61" s="144"/>
      <c r="J61" s="144"/>
      <c r="K61" s="145">
        <f t="shared" si="8"/>
        <v>0</v>
      </c>
      <c r="L61" s="189">
        <f>[2]Salary!$R$61</f>
        <v>8305.8239799999992</v>
      </c>
      <c r="M61" s="187">
        <f>$L61/52*4</f>
        <v>638.90953692307687</v>
      </c>
      <c r="N61" s="187">
        <f t="shared" si="18"/>
        <v>638.90953692307687</v>
      </c>
      <c r="O61" s="187">
        <f>$L61/52*5</f>
        <v>798.63692115384606</v>
      </c>
      <c r="P61" s="187">
        <f t="shared" si="18"/>
        <v>638.90953692307687</v>
      </c>
      <c r="Q61" s="187">
        <f t="shared" si="18"/>
        <v>638.90953692307687</v>
      </c>
      <c r="R61" s="187">
        <f>$L61/52*5</f>
        <v>798.63692115384606</v>
      </c>
      <c r="S61" s="187">
        <f t="shared" si="18"/>
        <v>638.90953692307687</v>
      </c>
      <c r="T61" s="187">
        <f t="shared" si="18"/>
        <v>638.90953692307687</v>
      </c>
      <c r="U61" s="187">
        <f>$L61/52*5</f>
        <v>798.63692115384606</v>
      </c>
      <c r="V61" s="187">
        <f t="shared" si="18"/>
        <v>638.90953692307687</v>
      </c>
      <c r="W61" s="187">
        <f t="shared" si="18"/>
        <v>638.90953692307687</v>
      </c>
      <c r="X61" s="188">
        <f>$L61/52*5</f>
        <v>798.63692115384606</v>
      </c>
      <c r="Y61" s="153" t="s">
        <v>119</v>
      </c>
    </row>
    <row r="62" spans="1:40" x14ac:dyDescent="0.25">
      <c r="A62" s="133"/>
      <c r="B62" s="133"/>
      <c r="C62" s="133"/>
      <c r="D62" s="133"/>
      <c r="E62" s="133" t="s">
        <v>128</v>
      </c>
      <c r="F62" s="133"/>
      <c r="G62" s="144"/>
      <c r="H62" s="144"/>
      <c r="I62" s="144"/>
      <c r="J62" s="144"/>
      <c r="K62" s="145">
        <f t="shared" si="8"/>
        <v>0</v>
      </c>
      <c r="L62" s="189">
        <f>[2]Salary!$R$38</f>
        <v>2727.9471224222762</v>
      </c>
      <c r="M62" s="187">
        <f>$L62/52*4</f>
        <v>209.84208634017509</v>
      </c>
      <c r="N62" s="187">
        <f t="shared" si="18"/>
        <v>209.84208634017509</v>
      </c>
      <c r="O62" s="187">
        <f>$L62/52*5</f>
        <v>262.30260792521887</v>
      </c>
      <c r="P62" s="187">
        <f t="shared" si="18"/>
        <v>209.84208634017509</v>
      </c>
      <c r="Q62" s="187">
        <f t="shared" si="18"/>
        <v>209.84208634017509</v>
      </c>
      <c r="R62" s="187">
        <f>$L62/52*5</f>
        <v>262.30260792521887</v>
      </c>
      <c r="S62" s="187">
        <f t="shared" si="18"/>
        <v>209.84208634017509</v>
      </c>
      <c r="T62" s="187">
        <f t="shared" si="18"/>
        <v>209.84208634017509</v>
      </c>
      <c r="U62" s="187">
        <f>$L62/52*5</f>
        <v>262.30260792521887</v>
      </c>
      <c r="V62" s="187">
        <f t="shared" si="18"/>
        <v>209.84208634017509</v>
      </c>
      <c r="W62" s="187">
        <f t="shared" si="18"/>
        <v>209.84208634017509</v>
      </c>
      <c r="X62" s="188">
        <f>$L62/52*5</f>
        <v>262.30260792521887</v>
      </c>
      <c r="Y62" s="153" t="s">
        <v>119</v>
      </c>
    </row>
    <row r="63" spans="1:40" x14ac:dyDescent="0.25">
      <c r="A63" s="133"/>
      <c r="B63" s="133"/>
      <c r="C63" s="133"/>
      <c r="D63" s="133"/>
      <c r="E63" s="133" t="s">
        <v>129</v>
      </c>
      <c r="F63" s="133"/>
      <c r="G63" s="144"/>
      <c r="H63" s="144"/>
      <c r="I63" s="144"/>
      <c r="J63" s="144"/>
      <c r="K63" s="145">
        <f t="shared" si="8"/>
        <v>0</v>
      </c>
      <c r="L63" s="184">
        <v>0</v>
      </c>
      <c r="M63" s="185">
        <f t="shared" si="19"/>
        <v>0</v>
      </c>
      <c r="N63" s="185">
        <f>$L63/52*4</f>
        <v>0</v>
      </c>
      <c r="O63" s="185">
        <f t="shared" si="20"/>
        <v>0</v>
      </c>
      <c r="P63" s="185">
        <f>$L63/52*4</f>
        <v>0</v>
      </c>
      <c r="Q63" s="185">
        <f>$L63/52*4</f>
        <v>0</v>
      </c>
      <c r="R63" s="185">
        <f t="shared" si="21"/>
        <v>0</v>
      </c>
      <c r="S63" s="185">
        <f>$L63/52*4</f>
        <v>0</v>
      </c>
      <c r="T63" s="185">
        <f>$L63/52*4</f>
        <v>0</v>
      </c>
      <c r="U63" s="185">
        <f t="shared" si="22"/>
        <v>0</v>
      </c>
      <c r="V63" s="185">
        <f>$L63/52*4</f>
        <v>0</v>
      </c>
      <c r="W63" s="185">
        <f>$L63/52*4</f>
        <v>0</v>
      </c>
      <c r="X63" s="190">
        <f t="shared" si="23"/>
        <v>0</v>
      </c>
      <c r="Y63" s="153" t="s">
        <v>99</v>
      </c>
    </row>
    <row r="64" spans="1:40" x14ac:dyDescent="0.25">
      <c r="A64" s="133"/>
      <c r="B64" s="133"/>
      <c r="C64" s="133"/>
      <c r="D64" s="133"/>
      <c r="E64" s="133" t="s">
        <v>130</v>
      </c>
      <c r="F64" s="133"/>
      <c r="H64" s="144"/>
      <c r="I64" s="144"/>
      <c r="J64" s="144"/>
      <c r="K64" s="145">
        <f t="shared" si="8"/>
        <v>0</v>
      </c>
      <c r="L64" s="159">
        <f>[1]Supporting!N145</f>
        <v>2987.4996999999998</v>
      </c>
      <c r="M64" s="180">
        <f>$L64/12</f>
        <v>248.95830833333332</v>
      </c>
      <c r="N64" s="180">
        <f t="shared" ref="N64:X64" si="24">$L64/12</f>
        <v>248.95830833333332</v>
      </c>
      <c r="O64" s="180">
        <f t="shared" si="24"/>
        <v>248.95830833333332</v>
      </c>
      <c r="P64" s="180">
        <f t="shared" si="24"/>
        <v>248.95830833333332</v>
      </c>
      <c r="Q64" s="180">
        <f t="shared" si="24"/>
        <v>248.95830833333332</v>
      </c>
      <c r="R64" s="180">
        <f t="shared" si="24"/>
        <v>248.95830833333332</v>
      </c>
      <c r="S64" s="180">
        <f t="shared" si="24"/>
        <v>248.95830833333332</v>
      </c>
      <c r="T64" s="180">
        <f t="shared" si="24"/>
        <v>248.95830833333332</v>
      </c>
      <c r="U64" s="180">
        <f t="shared" si="24"/>
        <v>248.95830833333332</v>
      </c>
      <c r="V64" s="180">
        <f t="shared" si="24"/>
        <v>248.95830833333332</v>
      </c>
      <c r="W64" s="180">
        <f t="shared" si="24"/>
        <v>248.95830833333332</v>
      </c>
      <c r="X64" s="180">
        <f t="shared" si="24"/>
        <v>248.95830833333332</v>
      </c>
      <c r="Y64" s="153" t="s">
        <v>99</v>
      </c>
    </row>
    <row r="65" spans="1:25" outlineLevel="1" x14ac:dyDescent="0.25">
      <c r="A65" s="133"/>
      <c r="B65" s="133"/>
      <c r="C65" s="133"/>
      <c r="D65" s="133"/>
      <c r="E65" s="133"/>
      <c r="F65" s="133" t="s">
        <v>131</v>
      </c>
      <c r="G65" s="144"/>
      <c r="H65" s="144"/>
      <c r="I65" s="144"/>
      <c r="J65" s="144"/>
      <c r="K65" s="145">
        <f t="shared" si="8"/>
        <v>0</v>
      </c>
      <c r="L65" s="178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1"/>
      <c r="Y65" s="128" t="s">
        <v>132</v>
      </c>
    </row>
    <row r="66" spans="1:25" outlineLevel="1" x14ac:dyDescent="0.25">
      <c r="A66" s="133"/>
      <c r="B66" s="133"/>
      <c r="C66" s="133"/>
      <c r="D66" s="133"/>
      <c r="E66" s="133"/>
      <c r="F66" s="133" t="s">
        <v>133</v>
      </c>
      <c r="G66" s="144"/>
      <c r="H66" s="144"/>
      <c r="I66" s="144"/>
      <c r="J66" s="144"/>
      <c r="K66" s="145">
        <f t="shared" si="8"/>
        <v>0</v>
      </c>
      <c r="L66" s="178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1"/>
      <c r="Y66" s="128" t="s">
        <v>134</v>
      </c>
    </row>
    <row r="67" spans="1:25" x14ac:dyDescent="0.25">
      <c r="A67" s="133"/>
      <c r="B67" s="133"/>
      <c r="C67" s="133"/>
      <c r="D67" s="133"/>
      <c r="E67" s="133" t="s">
        <v>135</v>
      </c>
      <c r="F67" s="133"/>
      <c r="G67" s="144"/>
      <c r="H67" s="144"/>
      <c r="I67" s="144"/>
      <c r="J67" s="144"/>
      <c r="K67" s="145">
        <f t="shared" si="8"/>
        <v>0</v>
      </c>
      <c r="L67" s="178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1"/>
    </row>
    <row r="68" spans="1:25" x14ac:dyDescent="0.25">
      <c r="A68" s="133"/>
      <c r="B68" s="133"/>
      <c r="C68" s="133"/>
      <c r="D68" s="133"/>
      <c r="E68" s="133" t="s">
        <v>136</v>
      </c>
      <c r="F68" s="133"/>
      <c r="G68" s="144"/>
      <c r="H68" s="144"/>
      <c r="I68" s="144"/>
      <c r="J68" s="144"/>
      <c r="K68" s="145">
        <f t="shared" si="8"/>
        <v>0</v>
      </c>
      <c r="L68" s="178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1"/>
    </row>
    <row r="69" spans="1:25" x14ac:dyDescent="0.25">
      <c r="A69" s="133"/>
      <c r="B69" s="133"/>
      <c r="C69" s="133"/>
      <c r="D69" s="133"/>
      <c r="E69" s="133" t="s">
        <v>137</v>
      </c>
      <c r="F69" s="133"/>
      <c r="G69" s="144"/>
      <c r="H69" s="144"/>
      <c r="I69" s="144"/>
      <c r="J69" s="144"/>
      <c r="K69" s="145">
        <f t="shared" si="8"/>
        <v>0</v>
      </c>
      <c r="L69" s="178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1"/>
    </row>
    <row r="70" spans="1:25" outlineLevel="1" x14ac:dyDescent="0.25">
      <c r="A70" s="133"/>
      <c r="B70" s="133"/>
      <c r="C70" s="133"/>
      <c r="D70" s="133"/>
      <c r="E70" s="133"/>
      <c r="F70" s="133" t="s">
        <v>138</v>
      </c>
      <c r="G70" s="144"/>
      <c r="H70" s="144"/>
      <c r="I70" s="144"/>
      <c r="J70" s="144"/>
      <c r="K70" s="145">
        <f t="shared" si="8"/>
        <v>0</v>
      </c>
      <c r="L70" s="159">
        <f>[1]Supporting!N132</f>
        <v>0</v>
      </c>
      <c r="M70" s="180">
        <f>$L70/12</f>
        <v>0</v>
      </c>
      <c r="N70" s="180">
        <f t="shared" ref="N70:X71" si="25">$L70/12</f>
        <v>0</v>
      </c>
      <c r="O70" s="180">
        <f t="shared" si="25"/>
        <v>0</v>
      </c>
      <c r="P70" s="180">
        <f t="shared" si="25"/>
        <v>0</v>
      </c>
      <c r="Q70" s="180">
        <f t="shared" si="25"/>
        <v>0</v>
      </c>
      <c r="R70" s="180">
        <f t="shared" si="25"/>
        <v>0</v>
      </c>
      <c r="S70" s="180">
        <f t="shared" si="25"/>
        <v>0</v>
      </c>
      <c r="T70" s="180">
        <f t="shared" si="25"/>
        <v>0</v>
      </c>
      <c r="U70" s="180">
        <f t="shared" si="25"/>
        <v>0</v>
      </c>
      <c r="V70" s="180">
        <f t="shared" si="25"/>
        <v>0</v>
      </c>
      <c r="W70" s="180">
        <f t="shared" si="25"/>
        <v>0</v>
      </c>
      <c r="X70" s="180">
        <f t="shared" si="25"/>
        <v>0</v>
      </c>
      <c r="Y70" s="153" t="s">
        <v>99</v>
      </c>
    </row>
    <row r="71" spans="1:25" outlineLevel="1" x14ac:dyDescent="0.25">
      <c r="A71" s="133"/>
      <c r="B71" s="133"/>
      <c r="C71" s="133"/>
      <c r="D71" s="133"/>
      <c r="E71" s="133"/>
      <c r="F71" s="133" t="s">
        <v>139</v>
      </c>
      <c r="G71" s="144"/>
      <c r="H71" s="144"/>
      <c r="I71" s="144"/>
      <c r="J71" s="144"/>
      <c r="K71" s="145">
        <f t="shared" si="8"/>
        <v>0</v>
      </c>
      <c r="L71" s="159">
        <f>[1]Supporting!N133</f>
        <v>250</v>
      </c>
      <c r="M71" s="180">
        <f>$L71/12</f>
        <v>20.833333333333332</v>
      </c>
      <c r="N71" s="180">
        <f t="shared" si="25"/>
        <v>20.833333333333332</v>
      </c>
      <c r="O71" s="180">
        <f t="shared" si="25"/>
        <v>20.833333333333332</v>
      </c>
      <c r="P71" s="180">
        <f t="shared" si="25"/>
        <v>20.833333333333332</v>
      </c>
      <c r="Q71" s="180">
        <f t="shared" si="25"/>
        <v>20.833333333333332</v>
      </c>
      <c r="R71" s="180">
        <f t="shared" si="25"/>
        <v>20.833333333333332</v>
      </c>
      <c r="S71" s="180">
        <f t="shared" si="25"/>
        <v>20.833333333333332</v>
      </c>
      <c r="T71" s="180">
        <f t="shared" si="25"/>
        <v>20.833333333333332</v>
      </c>
      <c r="U71" s="180">
        <f t="shared" si="25"/>
        <v>20.833333333333332</v>
      </c>
      <c r="V71" s="180">
        <f t="shared" si="25"/>
        <v>20.833333333333332</v>
      </c>
      <c r="W71" s="180">
        <f t="shared" si="25"/>
        <v>20.833333333333332</v>
      </c>
      <c r="X71" s="180">
        <f t="shared" si="25"/>
        <v>20.833333333333332</v>
      </c>
      <c r="Y71" s="153" t="s">
        <v>99</v>
      </c>
    </row>
    <row r="72" spans="1:25" outlineLevel="1" x14ac:dyDescent="0.25">
      <c r="A72" s="133"/>
      <c r="B72" s="133"/>
      <c r="C72" s="133"/>
      <c r="D72" s="133"/>
      <c r="E72" s="133"/>
      <c r="F72" s="133" t="s">
        <v>140</v>
      </c>
      <c r="G72" s="144"/>
      <c r="H72" s="144"/>
      <c r="I72" s="144"/>
      <c r="J72" s="144"/>
      <c r="K72" s="145">
        <f t="shared" si="8"/>
        <v>0</v>
      </c>
      <c r="L72" s="159">
        <f>[1]Supporting!N134</f>
        <v>960</v>
      </c>
      <c r="M72" s="180">
        <f t="shared" ref="M72:X72" si="26">$L72/12</f>
        <v>80</v>
      </c>
      <c r="N72" s="180">
        <f t="shared" si="26"/>
        <v>80</v>
      </c>
      <c r="O72" s="180">
        <f t="shared" si="26"/>
        <v>80</v>
      </c>
      <c r="P72" s="180">
        <f t="shared" si="26"/>
        <v>80</v>
      </c>
      <c r="Q72" s="180">
        <f t="shared" si="26"/>
        <v>80</v>
      </c>
      <c r="R72" s="180">
        <f t="shared" si="26"/>
        <v>80</v>
      </c>
      <c r="S72" s="180">
        <f t="shared" si="26"/>
        <v>80</v>
      </c>
      <c r="T72" s="180">
        <f t="shared" si="26"/>
        <v>80</v>
      </c>
      <c r="U72" s="180">
        <f t="shared" si="26"/>
        <v>80</v>
      </c>
      <c r="V72" s="180">
        <f t="shared" si="26"/>
        <v>80</v>
      </c>
      <c r="W72" s="180">
        <f t="shared" si="26"/>
        <v>80</v>
      </c>
      <c r="X72" s="180">
        <f t="shared" si="26"/>
        <v>80</v>
      </c>
      <c r="Y72" s="153" t="s">
        <v>99</v>
      </c>
    </row>
    <row r="73" spans="1:25" x14ac:dyDescent="0.25">
      <c r="A73" s="133"/>
      <c r="B73" s="133"/>
      <c r="C73" s="133"/>
      <c r="D73" s="133"/>
      <c r="E73" s="133" t="s">
        <v>141</v>
      </c>
      <c r="F73" s="133"/>
      <c r="G73" s="144"/>
      <c r="H73" s="144"/>
      <c r="I73" s="144"/>
      <c r="J73" s="144"/>
      <c r="K73" s="145">
        <f t="shared" si="8"/>
        <v>0</v>
      </c>
      <c r="L73" s="178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1"/>
    </row>
    <row r="74" spans="1:25" outlineLevel="1" x14ac:dyDescent="0.25">
      <c r="A74" s="133"/>
      <c r="B74" s="133"/>
      <c r="C74" s="133"/>
      <c r="D74" s="133"/>
      <c r="E74" s="133"/>
      <c r="F74" s="133" t="s">
        <v>142</v>
      </c>
      <c r="G74" s="144"/>
      <c r="H74" s="144"/>
      <c r="I74" s="144"/>
      <c r="J74" s="144"/>
      <c r="K74" s="145">
        <f t="shared" si="8"/>
        <v>0</v>
      </c>
      <c r="L74" s="160">
        <f>[1]Supporting!N156</f>
        <v>6375</v>
      </c>
      <c r="M74" s="180">
        <f>$L74/12</f>
        <v>531.25</v>
      </c>
      <c r="N74" s="180">
        <f t="shared" ref="N74:X75" si="27">$L74/12</f>
        <v>531.25</v>
      </c>
      <c r="O74" s="180">
        <f t="shared" si="27"/>
        <v>531.25</v>
      </c>
      <c r="P74" s="180">
        <f t="shared" si="27"/>
        <v>531.25</v>
      </c>
      <c r="Q74" s="180">
        <f t="shared" si="27"/>
        <v>531.25</v>
      </c>
      <c r="R74" s="180">
        <f t="shared" si="27"/>
        <v>531.25</v>
      </c>
      <c r="S74" s="180">
        <f t="shared" si="27"/>
        <v>531.25</v>
      </c>
      <c r="T74" s="180">
        <f t="shared" si="27"/>
        <v>531.25</v>
      </c>
      <c r="U74" s="180">
        <f t="shared" si="27"/>
        <v>531.25</v>
      </c>
      <c r="V74" s="180">
        <f t="shared" si="27"/>
        <v>531.25</v>
      </c>
      <c r="W74" s="180">
        <f t="shared" si="27"/>
        <v>531.25</v>
      </c>
      <c r="X74" s="180">
        <f t="shared" si="27"/>
        <v>531.25</v>
      </c>
      <c r="Y74" s="153" t="s">
        <v>99</v>
      </c>
    </row>
    <row r="75" spans="1:25" outlineLevel="1" x14ac:dyDescent="0.25">
      <c r="A75" s="133"/>
      <c r="B75" s="133"/>
      <c r="C75" s="133"/>
      <c r="D75" s="133"/>
      <c r="E75" s="133"/>
      <c r="F75" s="133" t="s">
        <v>143</v>
      </c>
      <c r="G75" s="144"/>
      <c r="H75" s="144"/>
      <c r="I75" s="144"/>
      <c r="J75" s="144"/>
      <c r="K75" s="145">
        <f t="shared" si="8"/>
        <v>0</v>
      </c>
      <c r="L75" s="160">
        <f>[1]Supporting!N157</f>
        <v>50</v>
      </c>
      <c r="M75" s="180">
        <f>$L75/12</f>
        <v>4.166666666666667</v>
      </c>
      <c r="N75" s="180">
        <f t="shared" si="27"/>
        <v>4.166666666666667</v>
      </c>
      <c r="O75" s="180">
        <f t="shared" si="27"/>
        <v>4.166666666666667</v>
      </c>
      <c r="P75" s="180">
        <f t="shared" si="27"/>
        <v>4.166666666666667</v>
      </c>
      <c r="Q75" s="180">
        <f t="shared" si="27"/>
        <v>4.166666666666667</v>
      </c>
      <c r="R75" s="180">
        <f t="shared" si="27"/>
        <v>4.166666666666667</v>
      </c>
      <c r="S75" s="180">
        <f t="shared" si="27"/>
        <v>4.166666666666667</v>
      </c>
      <c r="T75" s="180">
        <f t="shared" si="27"/>
        <v>4.166666666666667</v>
      </c>
      <c r="U75" s="180">
        <f t="shared" si="27"/>
        <v>4.166666666666667</v>
      </c>
      <c r="V75" s="180">
        <f t="shared" si="27"/>
        <v>4.166666666666667</v>
      </c>
      <c r="W75" s="180">
        <f t="shared" si="27"/>
        <v>4.166666666666667</v>
      </c>
      <c r="X75" s="180">
        <f t="shared" si="27"/>
        <v>4.166666666666667</v>
      </c>
      <c r="Y75" s="153" t="s">
        <v>99</v>
      </c>
    </row>
    <row r="76" spans="1:25" outlineLevel="1" x14ac:dyDescent="0.25">
      <c r="A76" s="133"/>
      <c r="B76" s="133"/>
      <c r="C76" s="133"/>
      <c r="D76" s="133"/>
      <c r="E76" s="133"/>
      <c r="F76" s="133" t="s">
        <v>144</v>
      </c>
      <c r="G76" s="144"/>
      <c r="H76" s="144"/>
      <c r="I76" s="144"/>
      <c r="J76" s="144"/>
      <c r="K76" s="145">
        <f t="shared" si="8"/>
        <v>0</v>
      </c>
      <c r="L76" s="160">
        <f>[1]Supporting!N158</f>
        <v>3000</v>
      </c>
      <c r="M76" s="180">
        <f t="shared" ref="M76:X77" si="28">$L76/12</f>
        <v>250</v>
      </c>
      <c r="N76" s="180">
        <f t="shared" si="28"/>
        <v>250</v>
      </c>
      <c r="O76" s="180">
        <f t="shared" si="28"/>
        <v>250</v>
      </c>
      <c r="P76" s="180">
        <f t="shared" si="28"/>
        <v>250</v>
      </c>
      <c r="Q76" s="180">
        <f t="shared" si="28"/>
        <v>250</v>
      </c>
      <c r="R76" s="180">
        <f t="shared" si="28"/>
        <v>250</v>
      </c>
      <c r="S76" s="180">
        <f t="shared" si="28"/>
        <v>250</v>
      </c>
      <c r="T76" s="180">
        <f t="shared" si="28"/>
        <v>250</v>
      </c>
      <c r="U76" s="180">
        <f t="shared" si="28"/>
        <v>250</v>
      </c>
      <c r="V76" s="180">
        <f t="shared" si="28"/>
        <v>250</v>
      </c>
      <c r="W76" s="180">
        <f t="shared" si="28"/>
        <v>250</v>
      </c>
      <c r="X76" s="180">
        <f t="shared" si="28"/>
        <v>250</v>
      </c>
      <c r="Y76" s="153" t="s">
        <v>99</v>
      </c>
    </row>
    <row r="77" spans="1:25" ht="15.75" thickBot="1" x14ac:dyDescent="0.3">
      <c r="A77" s="133"/>
      <c r="B77" s="133"/>
      <c r="C77" s="133"/>
      <c r="D77" s="133"/>
      <c r="E77" s="133" t="s">
        <v>145</v>
      </c>
      <c r="F77" s="133"/>
      <c r="G77" s="144"/>
      <c r="H77" s="136"/>
      <c r="I77" s="136"/>
      <c r="J77" s="136"/>
      <c r="K77" s="145">
        <f t="shared" si="8"/>
        <v>0</v>
      </c>
      <c r="L77" s="159">
        <f>[1]Supporting!N137</f>
        <v>600</v>
      </c>
      <c r="M77" s="180">
        <f t="shared" si="28"/>
        <v>50</v>
      </c>
      <c r="N77" s="180">
        <f t="shared" si="28"/>
        <v>50</v>
      </c>
      <c r="O77" s="180">
        <f t="shared" si="28"/>
        <v>50</v>
      </c>
      <c r="P77" s="180">
        <f t="shared" si="28"/>
        <v>50</v>
      </c>
      <c r="Q77" s="180">
        <f t="shared" si="28"/>
        <v>50</v>
      </c>
      <c r="R77" s="180">
        <f t="shared" si="28"/>
        <v>50</v>
      </c>
      <c r="S77" s="180">
        <f t="shared" si="28"/>
        <v>50</v>
      </c>
      <c r="T77" s="180">
        <f t="shared" si="28"/>
        <v>50</v>
      </c>
      <c r="U77" s="180">
        <f t="shared" si="28"/>
        <v>50</v>
      </c>
      <c r="V77" s="180">
        <f t="shared" si="28"/>
        <v>50</v>
      </c>
      <c r="W77" s="180">
        <f t="shared" si="28"/>
        <v>50</v>
      </c>
      <c r="X77" s="180">
        <f t="shared" si="28"/>
        <v>50</v>
      </c>
      <c r="Y77" s="153" t="s">
        <v>99</v>
      </c>
    </row>
    <row r="78" spans="1:25" x14ac:dyDescent="0.25">
      <c r="A78" s="133"/>
      <c r="B78" s="133"/>
      <c r="C78" s="133"/>
      <c r="D78" s="133" t="s">
        <v>11</v>
      </c>
      <c r="E78" s="133"/>
      <c r="F78" s="133"/>
      <c r="G78" s="191"/>
      <c r="H78" s="191"/>
      <c r="I78" s="191"/>
      <c r="J78" s="191"/>
      <c r="K78" s="191">
        <f>SUM(K34:K77)</f>
        <v>0</v>
      </c>
      <c r="L78" s="192">
        <f>ROUND(SUM(L33:L77),5)</f>
        <v>464087.86369999999</v>
      </c>
      <c r="M78" s="193">
        <f>ROUND(SUM(M33:M77),5)</f>
        <v>37230.590040000003</v>
      </c>
      <c r="N78" s="193">
        <f t="shared" ref="N78:X78" si="29">ROUND(SUM(N33:N77),5)</f>
        <v>37230.590040000003</v>
      </c>
      <c r="O78" s="193">
        <f t="shared" si="29"/>
        <v>41560.78585</v>
      </c>
      <c r="P78" s="193">
        <f t="shared" si="29"/>
        <v>37230.590040000003</v>
      </c>
      <c r="Q78" s="193">
        <f t="shared" si="29"/>
        <v>37230.590040000003</v>
      </c>
      <c r="R78" s="193">
        <f t="shared" si="29"/>
        <v>41560.78585</v>
      </c>
      <c r="S78" s="193">
        <f t="shared" si="29"/>
        <v>37230.590040000003</v>
      </c>
      <c r="T78" s="193">
        <f t="shared" si="29"/>
        <v>37230.590040000003</v>
      </c>
      <c r="U78" s="193">
        <f t="shared" si="29"/>
        <v>41560.78585</v>
      </c>
      <c r="V78" s="193">
        <f t="shared" si="29"/>
        <v>37230.590040000003</v>
      </c>
      <c r="W78" s="193">
        <f t="shared" si="29"/>
        <v>37230.590040000003</v>
      </c>
      <c r="X78" s="193">
        <f t="shared" si="29"/>
        <v>41560.78585</v>
      </c>
    </row>
    <row r="79" spans="1:25" ht="15.75" thickBot="1" x14ac:dyDescent="0.3">
      <c r="A79" s="133"/>
      <c r="B79" s="133" t="s">
        <v>146</v>
      </c>
      <c r="C79" s="133"/>
      <c r="D79" s="133"/>
      <c r="E79" s="133"/>
      <c r="F79" s="133"/>
      <c r="G79" s="194"/>
      <c r="H79" s="194"/>
      <c r="I79" s="194"/>
      <c r="J79" s="194"/>
      <c r="K79" s="195">
        <f>ROUND(+K32-K78,5)</f>
        <v>0</v>
      </c>
      <c r="L79" s="196">
        <f>ROUND(L32-L78,5)</f>
        <v>54215.091740000003</v>
      </c>
      <c r="M79" s="197">
        <f t="shared" ref="M79:X79" si="30">ROUND(M32-M78,5)</f>
        <v>-4145.2233699999997</v>
      </c>
      <c r="N79" s="197">
        <f t="shared" si="30"/>
        <v>-2566.0233699999999</v>
      </c>
      <c r="O79" s="197">
        <f t="shared" si="30"/>
        <v>-12816.919180000001</v>
      </c>
      <c r="P79" s="197">
        <f t="shared" si="30"/>
        <v>-6316.6233700000003</v>
      </c>
      <c r="Q79" s="197">
        <f t="shared" si="30"/>
        <v>-4046.5233699999999</v>
      </c>
      <c r="R79" s="197">
        <f t="shared" si="30"/>
        <v>-23279.119180000002</v>
      </c>
      <c r="S79" s="197">
        <f t="shared" si="30"/>
        <v>-8586.7233699999997</v>
      </c>
      <c r="T79" s="197">
        <f t="shared" si="30"/>
        <v>-10560.72337</v>
      </c>
      <c r="U79" s="197">
        <f t="shared" si="30"/>
        <v>-16863.619180000002</v>
      </c>
      <c r="V79" s="197">
        <f t="shared" si="30"/>
        <v>-10696.92337</v>
      </c>
      <c r="W79" s="197">
        <f t="shared" si="30"/>
        <v>789.77662999999995</v>
      </c>
      <c r="X79" s="198">
        <f t="shared" si="30"/>
        <v>-17455.819179999999</v>
      </c>
    </row>
    <row r="80" spans="1:25" ht="15.75" thickTop="1" x14ac:dyDescent="0.25">
      <c r="L80" s="128">
        <f>SUM(M79:X79)</f>
        <v>-116544.46368000002</v>
      </c>
      <c r="M80" s="128">
        <f>SUM(M78:X78)</f>
        <v>464087.86371999991</v>
      </c>
    </row>
    <row r="81" spans="12:26" x14ac:dyDescent="0.25">
      <c r="L81" s="199">
        <f>+L80/L20</f>
        <v>-0.21461056404356957</v>
      </c>
    </row>
    <row r="83" spans="12:26" x14ac:dyDescent="0.25">
      <c r="Z83" s="128">
        <f>+L79</f>
        <v>54215.091740000003</v>
      </c>
    </row>
    <row r="84" spans="12:26" x14ac:dyDescent="0.25">
      <c r="Z84" s="128">
        <f>+'Niagara Falls &amp; South Consol'!H25</f>
        <v>54215.091736462484</v>
      </c>
    </row>
    <row r="85" spans="12:26" x14ac:dyDescent="0.25">
      <c r="Z85" s="128">
        <f>+Z83-Z84</f>
        <v>3.5375196603126824E-6</v>
      </c>
    </row>
  </sheetData>
  <mergeCells count="1">
    <mergeCell ref="L4:X4"/>
  </mergeCells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81"/>
  <sheetViews>
    <sheetView topLeftCell="B19" workbookViewId="0">
      <selection activeCell="AB33" sqref="AB33"/>
    </sheetView>
  </sheetViews>
  <sheetFormatPr defaultColWidth="9.140625" defaultRowHeight="15" outlineLevelRow="1" x14ac:dyDescent="0.25"/>
  <cols>
    <col min="1" max="5" width="1.42578125" style="127" customWidth="1"/>
    <col min="6" max="6" width="27.7109375" style="127" customWidth="1"/>
    <col min="7" max="10" width="13.7109375" style="128" hidden="1" customWidth="1"/>
    <col min="11" max="11" width="13.7109375" style="129" hidden="1" customWidth="1"/>
    <col min="12" max="12" width="13.7109375" style="128" customWidth="1"/>
    <col min="13" max="24" width="9.7109375" style="128" customWidth="1"/>
    <col min="25" max="16384" width="9.140625" style="128"/>
  </cols>
  <sheetData>
    <row r="1" spans="1:25" ht="15.75" x14ac:dyDescent="0.25">
      <c r="A1" s="126" t="s">
        <v>44</v>
      </c>
    </row>
    <row r="2" spans="1:25" ht="18.75" x14ac:dyDescent="0.3">
      <c r="A2" s="130" t="s">
        <v>45</v>
      </c>
      <c r="L2" s="131"/>
    </row>
    <row r="3" spans="1:25" ht="6.75" customHeight="1" x14ac:dyDescent="0.25">
      <c r="A3" s="132" t="s">
        <v>46</v>
      </c>
    </row>
    <row r="4" spans="1:25" s="136" customFormat="1" ht="15.75" thickBot="1" x14ac:dyDescent="0.3">
      <c r="A4" s="133"/>
      <c r="B4" s="133"/>
      <c r="C4" s="133"/>
      <c r="D4" s="133"/>
      <c r="E4" s="133"/>
      <c r="F4" s="133"/>
      <c r="G4" s="134"/>
      <c r="H4" s="134"/>
      <c r="I4" s="134"/>
      <c r="J4" s="134"/>
      <c r="K4" s="135"/>
      <c r="L4" s="330" t="s">
        <v>47</v>
      </c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</row>
    <row r="5" spans="1:25" s="143" customFormat="1" ht="46.5" thickTop="1" thickBot="1" x14ac:dyDescent="0.3">
      <c r="A5" s="137"/>
      <c r="B5" s="137"/>
      <c r="C5" s="137"/>
      <c r="D5" s="137"/>
      <c r="E5" s="137"/>
      <c r="F5" s="137" t="str">
        <f>+A1</f>
        <v>ReStore North</v>
      </c>
      <c r="G5" s="138" t="s">
        <v>48</v>
      </c>
      <c r="H5" s="139" t="s">
        <v>49</v>
      </c>
      <c r="I5" s="139" t="s">
        <v>50</v>
      </c>
      <c r="J5" s="139" t="s">
        <v>51</v>
      </c>
      <c r="K5" s="140" t="s">
        <v>52</v>
      </c>
      <c r="L5" s="141" t="s">
        <v>53</v>
      </c>
      <c r="M5" s="138" t="s">
        <v>54</v>
      </c>
      <c r="N5" s="138" t="s">
        <v>55</v>
      </c>
      <c r="O5" s="138" t="s">
        <v>56</v>
      </c>
      <c r="P5" s="138" t="s">
        <v>57</v>
      </c>
      <c r="Q5" s="138" t="s">
        <v>58</v>
      </c>
      <c r="R5" s="138" t="s">
        <v>59</v>
      </c>
      <c r="S5" s="138" t="s">
        <v>60</v>
      </c>
      <c r="T5" s="138" t="s">
        <v>61</v>
      </c>
      <c r="U5" s="138" t="s">
        <v>62</v>
      </c>
      <c r="V5" s="138" t="s">
        <v>63</v>
      </c>
      <c r="W5" s="138" t="s">
        <v>64</v>
      </c>
      <c r="X5" s="142" t="s">
        <v>65</v>
      </c>
    </row>
    <row r="6" spans="1:25" ht="15.75" thickTop="1" x14ac:dyDescent="0.25">
      <c r="A6" s="133"/>
      <c r="B6" s="133"/>
      <c r="C6" s="133"/>
      <c r="D6" s="133" t="s">
        <v>66</v>
      </c>
      <c r="E6" s="133"/>
      <c r="F6" s="133"/>
      <c r="G6" s="144"/>
      <c r="H6" s="144"/>
      <c r="I6" s="144"/>
      <c r="J6" s="144"/>
      <c r="K6" s="145"/>
      <c r="L6" s="146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</row>
    <row r="7" spans="1:25" x14ac:dyDescent="0.25">
      <c r="A7" s="133"/>
      <c r="B7" s="133"/>
      <c r="C7" s="133"/>
      <c r="D7" s="133"/>
      <c r="E7" s="133" t="s">
        <v>67</v>
      </c>
      <c r="F7" s="133"/>
      <c r="G7" s="144"/>
      <c r="H7" s="144"/>
      <c r="I7" s="144">
        <f>G7+H7</f>
        <v>0</v>
      </c>
      <c r="J7" s="144"/>
      <c r="K7" s="145">
        <f>I7-J7</f>
        <v>0</v>
      </c>
      <c r="L7" s="146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8"/>
    </row>
    <row r="8" spans="1:25" x14ac:dyDescent="0.25">
      <c r="A8" s="133"/>
      <c r="B8" s="133"/>
      <c r="C8" s="133"/>
      <c r="D8" s="133"/>
      <c r="E8" s="149" t="s">
        <v>68</v>
      </c>
      <c r="F8" s="133"/>
      <c r="G8" s="144"/>
      <c r="H8" s="144"/>
      <c r="I8" s="144"/>
      <c r="J8" s="144"/>
      <c r="K8" s="145"/>
      <c r="L8" s="146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8"/>
    </row>
    <row r="9" spans="1:25" s="136" customFormat="1" x14ac:dyDescent="0.25">
      <c r="A9" s="133"/>
      <c r="B9" s="133"/>
      <c r="C9" s="133"/>
      <c r="D9" s="133"/>
      <c r="E9" s="133" t="s">
        <v>69</v>
      </c>
      <c r="F9" s="133"/>
      <c r="G9" s="144"/>
      <c r="H9" s="144"/>
      <c r="I9" s="144"/>
      <c r="J9" s="144"/>
      <c r="K9" s="150"/>
      <c r="L9" s="146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8"/>
    </row>
    <row r="10" spans="1:25" x14ac:dyDescent="0.25">
      <c r="A10" s="133"/>
      <c r="B10" s="133"/>
      <c r="C10" s="133"/>
      <c r="D10" s="133"/>
      <c r="E10" s="133" t="s">
        <v>70</v>
      </c>
      <c r="F10" s="133"/>
      <c r="G10" s="144"/>
      <c r="H10" s="144"/>
      <c r="I10" s="144"/>
      <c r="J10" s="144"/>
      <c r="K10" s="145">
        <f t="shared" ref="K10:K19" si="0">I10-J10</f>
        <v>0</v>
      </c>
      <c r="L10" s="151">
        <f>SUM(M10:X10)</f>
        <v>370300</v>
      </c>
      <c r="M10" s="152">
        <v>35100</v>
      </c>
      <c r="N10" s="152">
        <v>36700</v>
      </c>
      <c r="O10" s="152">
        <v>30600</v>
      </c>
      <c r="P10" s="152">
        <v>32900</v>
      </c>
      <c r="Q10" s="152">
        <v>35200</v>
      </c>
      <c r="R10" s="152">
        <v>20000</v>
      </c>
      <c r="S10" s="152">
        <v>30600</v>
      </c>
      <c r="T10" s="152">
        <v>28600</v>
      </c>
      <c r="U10" s="152">
        <v>26500</v>
      </c>
      <c r="V10" s="152">
        <v>28100</v>
      </c>
      <c r="W10" s="152">
        <v>40100</v>
      </c>
      <c r="X10" s="152">
        <v>25900</v>
      </c>
      <c r="Y10" s="153" t="s">
        <v>71</v>
      </c>
    </row>
    <row r="11" spans="1:25" x14ac:dyDescent="0.25">
      <c r="A11" s="133"/>
      <c r="B11" s="133"/>
      <c r="C11" s="133"/>
      <c r="D11" s="133"/>
      <c r="E11" s="133" t="s">
        <v>72</v>
      </c>
      <c r="F11" s="133"/>
      <c r="G11" s="144"/>
      <c r="H11" s="144"/>
      <c r="I11" s="144"/>
      <c r="J11" s="144"/>
      <c r="K11" s="145">
        <f t="shared" si="0"/>
        <v>0</v>
      </c>
      <c r="L11" s="146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</row>
    <row r="12" spans="1:25" x14ac:dyDescent="0.25">
      <c r="A12" s="133"/>
      <c r="B12" s="133"/>
      <c r="C12" s="133"/>
      <c r="D12" s="133"/>
      <c r="E12" s="133" t="s">
        <v>73</v>
      </c>
      <c r="F12" s="133"/>
      <c r="G12" s="144"/>
      <c r="H12" s="144"/>
      <c r="I12" s="144"/>
      <c r="J12" s="144"/>
      <c r="K12" s="145">
        <f t="shared" si="0"/>
        <v>0</v>
      </c>
      <c r="L12" s="146">
        <f>SUM(M12:X12)</f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</row>
    <row r="13" spans="1:25" x14ac:dyDescent="0.25">
      <c r="A13" s="133"/>
      <c r="B13" s="133"/>
      <c r="C13" s="133"/>
      <c r="D13" s="133"/>
      <c r="E13" s="149" t="s">
        <v>74</v>
      </c>
      <c r="F13" s="133"/>
      <c r="G13" s="144"/>
      <c r="H13" s="144"/>
      <c r="I13" s="144"/>
      <c r="K13" s="145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</row>
    <row r="14" spans="1:25" x14ac:dyDescent="0.25">
      <c r="A14" s="133"/>
      <c r="B14" s="133"/>
      <c r="C14" s="133"/>
      <c r="D14" s="133"/>
      <c r="E14" s="133" t="s">
        <v>75</v>
      </c>
      <c r="F14" s="133"/>
      <c r="G14" s="144"/>
      <c r="H14" s="144"/>
      <c r="I14" s="144"/>
      <c r="J14" s="144"/>
      <c r="K14" s="145">
        <f t="shared" ref="K14" si="1">I14-J14</f>
        <v>0</v>
      </c>
      <c r="L14" s="146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8"/>
      <c r="Y14" s="155"/>
    </row>
    <row r="15" spans="1:25" x14ac:dyDescent="0.25">
      <c r="A15" s="133"/>
      <c r="B15" s="133"/>
      <c r="C15" s="133"/>
      <c r="D15" s="133"/>
      <c r="E15" s="133" t="s">
        <v>76</v>
      </c>
      <c r="F15" s="133"/>
      <c r="G15" s="144"/>
      <c r="H15" s="144"/>
      <c r="I15" s="144"/>
      <c r="J15" s="144"/>
      <c r="K15" s="145"/>
      <c r="L15" s="146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</row>
    <row r="16" spans="1:25" x14ac:dyDescent="0.25">
      <c r="A16" s="133"/>
      <c r="B16" s="133"/>
      <c r="C16" s="133"/>
      <c r="D16" s="133"/>
      <c r="E16" s="133" t="s">
        <v>77</v>
      </c>
      <c r="F16" s="133"/>
      <c r="G16" s="144"/>
      <c r="H16" s="144"/>
      <c r="I16" s="144"/>
      <c r="J16" s="144"/>
      <c r="K16" s="145">
        <f t="shared" si="0"/>
        <v>0</v>
      </c>
      <c r="L16" s="156">
        <v>500</v>
      </c>
      <c r="M16" s="157">
        <f>$L16/12</f>
        <v>41.666666666666664</v>
      </c>
      <c r="N16" s="157">
        <f t="shared" ref="N16:X16" si="2">$L16/12</f>
        <v>41.666666666666664</v>
      </c>
      <c r="O16" s="157">
        <f t="shared" si="2"/>
        <v>41.666666666666664</v>
      </c>
      <c r="P16" s="157">
        <f t="shared" si="2"/>
        <v>41.666666666666664</v>
      </c>
      <c r="Q16" s="157">
        <f t="shared" si="2"/>
        <v>41.666666666666664</v>
      </c>
      <c r="R16" s="157">
        <f t="shared" si="2"/>
        <v>41.666666666666664</v>
      </c>
      <c r="S16" s="157">
        <f t="shared" si="2"/>
        <v>41.666666666666664</v>
      </c>
      <c r="T16" s="157">
        <f t="shared" si="2"/>
        <v>41.666666666666664</v>
      </c>
      <c r="U16" s="157">
        <f t="shared" si="2"/>
        <v>41.666666666666664</v>
      </c>
      <c r="V16" s="157">
        <f t="shared" si="2"/>
        <v>41.666666666666664</v>
      </c>
      <c r="W16" s="157">
        <f t="shared" si="2"/>
        <v>41.666666666666664</v>
      </c>
      <c r="X16" s="157">
        <f t="shared" si="2"/>
        <v>41.666666666666664</v>
      </c>
      <c r="Y16" s="158"/>
    </row>
    <row r="17" spans="1:25" x14ac:dyDescent="0.25">
      <c r="A17" s="133"/>
      <c r="B17" s="133"/>
      <c r="C17" s="133"/>
      <c r="D17" s="133"/>
      <c r="E17" s="133" t="s">
        <v>78</v>
      </c>
      <c r="F17" s="133"/>
      <c r="G17" s="144"/>
      <c r="H17" s="144"/>
      <c r="I17" s="144"/>
      <c r="J17" s="144"/>
      <c r="K17" s="145">
        <f t="shared" si="0"/>
        <v>0</v>
      </c>
      <c r="L17" s="146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8"/>
    </row>
    <row r="18" spans="1:25" x14ac:dyDescent="0.25">
      <c r="A18" s="133"/>
      <c r="B18" s="133"/>
      <c r="C18" s="133"/>
      <c r="D18" s="133"/>
      <c r="E18" s="133" t="s">
        <v>79</v>
      </c>
      <c r="F18" s="133"/>
      <c r="G18" s="144"/>
      <c r="H18" s="144"/>
      <c r="I18" s="144"/>
      <c r="J18" s="144"/>
      <c r="K18" s="145">
        <f t="shared" si="0"/>
        <v>0</v>
      </c>
      <c r="L18" s="159">
        <f>SUM(M18:X18)</f>
        <v>400</v>
      </c>
      <c r="M18" s="160"/>
      <c r="N18" s="160"/>
      <c r="O18" s="160">
        <v>100</v>
      </c>
      <c r="P18" s="160"/>
      <c r="Q18" s="160"/>
      <c r="R18" s="160">
        <v>100</v>
      </c>
      <c r="S18" s="160"/>
      <c r="T18" s="160"/>
      <c r="U18" s="160">
        <v>100</v>
      </c>
      <c r="V18" s="160"/>
      <c r="W18" s="160"/>
      <c r="X18" s="160">
        <v>100</v>
      </c>
      <c r="Y18" s="161" t="s">
        <v>80</v>
      </c>
    </row>
    <row r="19" spans="1:25" ht="15.75" thickBot="1" x14ac:dyDescent="0.3">
      <c r="A19" s="133"/>
      <c r="B19" s="133"/>
      <c r="C19" s="133"/>
      <c r="D19" s="133"/>
      <c r="E19" s="133" t="s">
        <v>81</v>
      </c>
      <c r="F19" s="133"/>
      <c r="G19" s="162"/>
      <c r="H19" s="162"/>
      <c r="I19" s="162"/>
      <c r="J19" s="162"/>
      <c r="K19" s="163">
        <f t="shared" si="0"/>
        <v>0</v>
      </c>
      <c r="L19" s="164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</row>
    <row r="20" spans="1:25" x14ac:dyDescent="0.25">
      <c r="A20" s="133"/>
      <c r="B20" s="133"/>
      <c r="C20" s="133"/>
      <c r="D20" s="133" t="s">
        <v>82</v>
      </c>
      <c r="E20" s="133"/>
      <c r="F20" s="133"/>
      <c r="G20" s="144"/>
      <c r="H20" s="144"/>
      <c r="I20" s="144"/>
      <c r="J20" s="144"/>
      <c r="K20" s="145">
        <f>I20-J20</f>
        <v>0</v>
      </c>
      <c r="L20" s="146">
        <f>SUM(M20:X20)</f>
        <v>371200</v>
      </c>
      <c r="M20" s="167">
        <f t="shared" ref="M20:X20" si="3">SUM(M7:M19)</f>
        <v>35141.666666666664</v>
      </c>
      <c r="N20" s="167">
        <f t="shared" si="3"/>
        <v>36741.666666666664</v>
      </c>
      <c r="O20" s="167">
        <f t="shared" si="3"/>
        <v>30741.666666666668</v>
      </c>
      <c r="P20" s="167">
        <f t="shared" si="3"/>
        <v>32941.666666666664</v>
      </c>
      <c r="Q20" s="167">
        <f t="shared" si="3"/>
        <v>35241.666666666664</v>
      </c>
      <c r="R20" s="167">
        <f t="shared" si="3"/>
        <v>20141.666666666668</v>
      </c>
      <c r="S20" s="167">
        <f t="shared" si="3"/>
        <v>30641.666666666668</v>
      </c>
      <c r="T20" s="167">
        <f t="shared" si="3"/>
        <v>28641.666666666668</v>
      </c>
      <c r="U20" s="167">
        <f t="shared" si="3"/>
        <v>26641.666666666668</v>
      </c>
      <c r="V20" s="167">
        <f t="shared" si="3"/>
        <v>28141.666666666668</v>
      </c>
      <c r="W20" s="167">
        <f t="shared" si="3"/>
        <v>40141.666666666664</v>
      </c>
      <c r="X20" s="168">
        <f t="shared" si="3"/>
        <v>26041.666666666668</v>
      </c>
    </row>
    <row r="21" spans="1:25" x14ac:dyDescent="0.25">
      <c r="A21" s="133"/>
      <c r="B21" s="133"/>
      <c r="C21" s="133"/>
      <c r="D21" s="133" t="s">
        <v>83</v>
      </c>
      <c r="E21" s="133"/>
      <c r="F21" s="133"/>
      <c r="G21" s="144"/>
      <c r="H21" s="144"/>
      <c r="I21" s="144"/>
      <c r="J21" s="144"/>
      <c r="K21" s="145"/>
      <c r="L21" s="169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1"/>
    </row>
    <row r="22" spans="1:25" x14ac:dyDescent="0.25">
      <c r="A22" s="133"/>
      <c r="B22" s="133"/>
      <c r="C22" s="133"/>
      <c r="D22" s="133"/>
      <c r="E22" s="133" t="s">
        <v>84</v>
      </c>
      <c r="F22" s="133"/>
      <c r="G22" s="144"/>
      <c r="H22" s="144"/>
      <c r="I22" s="144"/>
      <c r="J22" s="144"/>
      <c r="K22" s="145">
        <f t="shared" ref="K22:K30" si="4">I22-J22</f>
        <v>0</v>
      </c>
      <c r="L22" s="169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</row>
    <row r="23" spans="1:25" x14ac:dyDescent="0.25">
      <c r="A23" s="133"/>
      <c r="B23" s="133"/>
      <c r="C23" s="133"/>
      <c r="D23" s="133"/>
      <c r="E23" s="149" t="s">
        <v>85</v>
      </c>
      <c r="F23" s="133"/>
      <c r="G23" s="144"/>
      <c r="H23" s="144"/>
      <c r="I23" s="144"/>
      <c r="J23" s="144"/>
      <c r="K23" s="145"/>
      <c r="L23" s="169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1"/>
    </row>
    <row r="24" spans="1:25" x14ac:dyDescent="0.25">
      <c r="A24" s="133"/>
      <c r="B24" s="133"/>
      <c r="C24" s="133"/>
      <c r="D24" s="133"/>
      <c r="E24" s="133" t="s">
        <v>86</v>
      </c>
      <c r="F24" s="133"/>
      <c r="G24" s="144"/>
      <c r="H24" s="144"/>
      <c r="I24" s="144"/>
      <c r="J24" s="144"/>
      <c r="K24" s="145">
        <f t="shared" si="4"/>
        <v>0</v>
      </c>
      <c r="L24" s="169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1"/>
    </row>
    <row r="25" spans="1:25" x14ac:dyDescent="0.25">
      <c r="A25" s="133"/>
      <c r="B25" s="133"/>
      <c r="C25" s="133"/>
      <c r="D25" s="133"/>
      <c r="E25" s="133" t="s">
        <v>87</v>
      </c>
      <c r="F25" s="133"/>
      <c r="G25" s="144"/>
      <c r="H25" s="144"/>
      <c r="I25" s="144"/>
      <c r="J25" s="144"/>
      <c r="K25" s="145">
        <f t="shared" si="4"/>
        <v>0</v>
      </c>
      <c r="L25" s="169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1"/>
    </row>
    <row r="26" spans="1:25" x14ac:dyDescent="0.25">
      <c r="A26" s="133"/>
      <c r="B26" s="133"/>
      <c r="C26" s="133"/>
      <c r="D26" s="133"/>
      <c r="E26" s="133" t="s">
        <v>88</v>
      </c>
      <c r="F26" s="133"/>
      <c r="G26" s="144"/>
      <c r="H26" s="144"/>
      <c r="I26" s="144"/>
      <c r="J26" s="144"/>
      <c r="K26" s="145">
        <f t="shared" si="4"/>
        <v>0</v>
      </c>
      <c r="L26" s="169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1"/>
    </row>
    <row r="27" spans="1:25" x14ac:dyDescent="0.25">
      <c r="A27" s="133"/>
      <c r="B27" s="133"/>
      <c r="C27" s="133"/>
      <c r="D27" s="133"/>
      <c r="E27" s="133" t="s">
        <v>89</v>
      </c>
      <c r="F27" s="133"/>
      <c r="G27" s="144"/>
      <c r="H27" s="144"/>
      <c r="I27" s="144"/>
      <c r="J27" s="144"/>
      <c r="K27" s="145">
        <f t="shared" si="4"/>
        <v>0</v>
      </c>
      <c r="L27" s="169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1"/>
    </row>
    <row r="28" spans="1:25" x14ac:dyDescent="0.25">
      <c r="A28" s="133"/>
      <c r="B28" s="133"/>
      <c r="C28" s="133"/>
      <c r="D28" s="133"/>
      <c r="E28" s="133" t="s">
        <v>90</v>
      </c>
      <c r="F28" s="133"/>
      <c r="G28" s="144"/>
      <c r="H28" s="144"/>
      <c r="I28" s="144"/>
      <c r="J28" s="144"/>
      <c r="K28" s="145">
        <f t="shared" si="4"/>
        <v>0</v>
      </c>
      <c r="L28" s="169">
        <f>SUM(M28:X28)</f>
        <v>4813.9000000000005</v>
      </c>
      <c r="M28" s="154">
        <f>M10*0.013</f>
        <v>456.29999999999995</v>
      </c>
      <c r="N28" s="154">
        <f t="shared" ref="N28:X28" si="5">N10*0.013</f>
        <v>477.09999999999997</v>
      </c>
      <c r="O28" s="154">
        <f t="shared" si="5"/>
        <v>397.79999999999995</v>
      </c>
      <c r="P28" s="154">
        <f t="shared" si="5"/>
        <v>427.7</v>
      </c>
      <c r="Q28" s="154">
        <f t="shared" si="5"/>
        <v>457.59999999999997</v>
      </c>
      <c r="R28" s="154">
        <f t="shared" si="5"/>
        <v>260</v>
      </c>
      <c r="S28" s="154">
        <f t="shared" si="5"/>
        <v>397.79999999999995</v>
      </c>
      <c r="T28" s="154">
        <f t="shared" si="5"/>
        <v>371.79999999999995</v>
      </c>
      <c r="U28" s="154">
        <f t="shared" si="5"/>
        <v>344.5</v>
      </c>
      <c r="V28" s="154">
        <f t="shared" si="5"/>
        <v>365.3</v>
      </c>
      <c r="W28" s="154">
        <f t="shared" si="5"/>
        <v>521.29999999999995</v>
      </c>
      <c r="X28" s="154">
        <f t="shared" si="5"/>
        <v>336.7</v>
      </c>
      <c r="Y28" s="128" t="s">
        <v>91</v>
      </c>
    </row>
    <row r="29" spans="1:25" x14ac:dyDescent="0.25">
      <c r="A29" s="133"/>
      <c r="B29" s="133"/>
      <c r="C29" s="133"/>
      <c r="D29" s="133"/>
      <c r="E29" s="133" t="s">
        <v>92</v>
      </c>
      <c r="F29" s="133"/>
      <c r="G29" s="144"/>
      <c r="H29" s="144"/>
      <c r="I29" s="144"/>
      <c r="J29" s="144"/>
      <c r="K29" s="145">
        <f t="shared" si="4"/>
        <v>0</v>
      </c>
      <c r="L29" s="146">
        <f>SUM(M29:X29)</f>
        <v>15000</v>
      </c>
      <c r="M29" s="154">
        <v>1250</v>
      </c>
      <c r="N29" s="154">
        <v>1250</v>
      </c>
      <c r="O29" s="154">
        <v>1250</v>
      </c>
      <c r="P29" s="154">
        <v>1250</v>
      </c>
      <c r="Q29" s="154">
        <v>1250</v>
      </c>
      <c r="R29" s="154">
        <v>1250</v>
      </c>
      <c r="S29" s="154">
        <v>1250</v>
      </c>
      <c r="T29" s="154">
        <v>1250</v>
      </c>
      <c r="U29" s="154">
        <v>1250</v>
      </c>
      <c r="V29" s="154">
        <v>1250</v>
      </c>
      <c r="W29" s="154">
        <v>1250</v>
      </c>
      <c r="X29" s="154">
        <v>1250</v>
      </c>
      <c r="Y29" s="128" t="s">
        <v>93</v>
      </c>
    </row>
    <row r="30" spans="1:25" ht="15.75" thickBot="1" x14ac:dyDescent="0.3">
      <c r="A30" s="133"/>
      <c r="B30" s="133"/>
      <c r="C30" s="133"/>
      <c r="D30" s="133"/>
      <c r="E30" s="133" t="s">
        <v>94</v>
      </c>
      <c r="F30" s="133"/>
      <c r="G30" s="144"/>
      <c r="H30" s="144"/>
      <c r="I30" s="144"/>
      <c r="J30" s="144"/>
      <c r="K30" s="145">
        <f t="shared" si="4"/>
        <v>0</v>
      </c>
      <c r="L30" s="172">
        <f>SUM(M30:X30)</f>
        <v>1200</v>
      </c>
      <c r="M30" s="154">
        <v>100</v>
      </c>
      <c r="N30" s="154">
        <v>100</v>
      </c>
      <c r="O30" s="154">
        <v>100</v>
      </c>
      <c r="P30" s="154">
        <v>100</v>
      </c>
      <c r="Q30" s="154">
        <v>100</v>
      </c>
      <c r="R30" s="154">
        <v>100</v>
      </c>
      <c r="S30" s="154">
        <v>100</v>
      </c>
      <c r="T30" s="154">
        <v>100</v>
      </c>
      <c r="U30" s="154">
        <v>100</v>
      </c>
      <c r="V30" s="154">
        <v>100</v>
      </c>
      <c r="W30" s="154">
        <v>100</v>
      </c>
      <c r="X30" s="154">
        <v>100</v>
      </c>
      <c r="Y30" s="128" t="s">
        <v>95</v>
      </c>
    </row>
    <row r="31" spans="1:25" ht="15.75" thickBot="1" x14ac:dyDescent="0.3">
      <c r="A31" s="133"/>
      <c r="B31" s="133"/>
      <c r="C31" s="133"/>
      <c r="D31" s="133" t="s">
        <v>96</v>
      </c>
      <c r="E31" s="133"/>
      <c r="F31" s="133"/>
      <c r="G31" s="173"/>
      <c r="H31" s="173"/>
      <c r="I31" s="173"/>
      <c r="J31" s="173"/>
      <c r="K31" s="174">
        <f>ROUND(SUM(K21:K30),5)</f>
        <v>0</v>
      </c>
      <c r="L31" s="175">
        <f>SUM(M31:X31)</f>
        <v>21013.899999999998</v>
      </c>
      <c r="M31" s="176">
        <f>SUM(M22:M30)</f>
        <v>1806.3</v>
      </c>
      <c r="N31" s="176">
        <f t="shared" ref="N31:X31" si="6">SUM(N22:N30)</f>
        <v>1827.1</v>
      </c>
      <c r="O31" s="176">
        <f t="shared" si="6"/>
        <v>1747.8</v>
      </c>
      <c r="P31" s="176">
        <f t="shared" si="6"/>
        <v>1777.7</v>
      </c>
      <c r="Q31" s="176">
        <f t="shared" si="6"/>
        <v>1807.6</v>
      </c>
      <c r="R31" s="176">
        <f t="shared" si="6"/>
        <v>1610</v>
      </c>
      <c r="S31" s="176">
        <f t="shared" si="6"/>
        <v>1747.8</v>
      </c>
      <c r="T31" s="176">
        <f t="shared" si="6"/>
        <v>1721.8</v>
      </c>
      <c r="U31" s="176">
        <f t="shared" si="6"/>
        <v>1694.5</v>
      </c>
      <c r="V31" s="176">
        <f t="shared" si="6"/>
        <v>1715.3</v>
      </c>
      <c r="W31" s="176">
        <f t="shared" si="6"/>
        <v>1871.3</v>
      </c>
      <c r="X31" s="177">
        <f t="shared" si="6"/>
        <v>1686.7</v>
      </c>
    </row>
    <row r="32" spans="1:25" x14ac:dyDescent="0.25">
      <c r="A32" s="133"/>
      <c r="B32" s="133"/>
      <c r="C32" s="133" t="s">
        <v>41</v>
      </c>
      <c r="D32" s="133"/>
      <c r="E32" s="133"/>
      <c r="F32" s="133"/>
      <c r="G32" s="144"/>
      <c r="H32" s="144"/>
      <c r="I32" s="144"/>
      <c r="J32" s="144"/>
      <c r="K32" s="145">
        <f t="shared" ref="K32:X32" si="7">ROUND(K20-K31,5)</f>
        <v>0</v>
      </c>
      <c r="L32" s="178">
        <f t="shared" si="7"/>
        <v>350186.1</v>
      </c>
      <c r="M32" s="167">
        <f t="shared" si="7"/>
        <v>33335.366670000003</v>
      </c>
      <c r="N32" s="167">
        <f t="shared" si="7"/>
        <v>34914.56667</v>
      </c>
      <c r="O32" s="167">
        <f t="shared" si="7"/>
        <v>28993.866669999999</v>
      </c>
      <c r="P32" s="167">
        <f t="shared" si="7"/>
        <v>31163.966670000002</v>
      </c>
      <c r="Q32" s="167">
        <f t="shared" si="7"/>
        <v>33434.06667</v>
      </c>
      <c r="R32" s="167">
        <f t="shared" si="7"/>
        <v>18531.666669999999</v>
      </c>
      <c r="S32" s="167">
        <f t="shared" si="7"/>
        <v>28893.866669999999</v>
      </c>
      <c r="T32" s="167">
        <f t="shared" si="7"/>
        <v>26919.866669999999</v>
      </c>
      <c r="U32" s="167">
        <f t="shared" si="7"/>
        <v>24947.166669999999</v>
      </c>
      <c r="V32" s="167">
        <f t="shared" si="7"/>
        <v>26426.366669999999</v>
      </c>
      <c r="W32" s="167">
        <f t="shared" si="7"/>
        <v>38270.366670000003</v>
      </c>
      <c r="X32" s="179">
        <f t="shared" si="7"/>
        <v>24354.966670000002</v>
      </c>
    </row>
    <row r="33" spans="1:25" x14ac:dyDescent="0.25">
      <c r="A33" s="133"/>
      <c r="B33" s="133"/>
      <c r="C33" s="133"/>
      <c r="D33" s="133" t="s">
        <v>6</v>
      </c>
      <c r="E33" s="133"/>
      <c r="F33" s="133"/>
      <c r="G33" s="144"/>
      <c r="H33" s="144"/>
      <c r="I33" s="144"/>
      <c r="J33" s="144"/>
      <c r="K33" s="145"/>
      <c r="L33" s="146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1"/>
    </row>
    <row r="34" spans="1:25" x14ac:dyDescent="0.25">
      <c r="A34" s="133"/>
      <c r="B34" s="133"/>
      <c r="C34" s="133"/>
      <c r="D34" s="133"/>
      <c r="E34" s="133" t="s">
        <v>97</v>
      </c>
      <c r="F34" s="133"/>
      <c r="G34" s="144"/>
      <c r="H34" s="144"/>
      <c r="I34" s="144"/>
      <c r="J34" s="144"/>
      <c r="K34" s="145">
        <f t="shared" ref="K34:K77" si="8">I34-J34</f>
        <v>0</v>
      </c>
      <c r="L34" s="146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1"/>
    </row>
    <row r="35" spans="1:25" outlineLevel="1" x14ac:dyDescent="0.25">
      <c r="A35" s="133"/>
      <c r="B35" s="133"/>
      <c r="C35" s="133"/>
      <c r="D35" s="133"/>
      <c r="E35" s="133"/>
      <c r="F35" s="133" t="s">
        <v>98</v>
      </c>
      <c r="G35" s="144"/>
      <c r="H35" s="144"/>
      <c r="I35" s="144"/>
      <c r="J35" s="144"/>
      <c r="K35" s="145">
        <f t="shared" si="8"/>
        <v>0</v>
      </c>
      <c r="L35" s="159">
        <f>[1]Supporting!N9</f>
        <v>1600</v>
      </c>
      <c r="M35" s="180">
        <f>$L35/12</f>
        <v>133.33333333333334</v>
      </c>
      <c r="N35" s="180">
        <f t="shared" ref="N35:X35" si="9">$L35/12</f>
        <v>133.33333333333334</v>
      </c>
      <c r="O35" s="180">
        <f t="shared" si="9"/>
        <v>133.33333333333334</v>
      </c>
      <c r="P35" s="180">
        <f t="shared" si="9"/>
        <v>133.33333333333334</v>
      </c>
      <c r="Q35" s="180">
        <f t="shared" si="9"/>
        <v>133.33333333333334</v>
      </c>
      <c r="R35" s="180">
        <f t="shared" si="9"/>
        <v>133.33333333333334</v>
      </c>
      <c r="S35" s="180">
        <f t="shared" si="9"/>
        <v>133.33333333333334</v>
      </c>
      <c r="T35" s="180">
        <f t="shared" si="9"/>
        <v>133.33333333333334</v>
      </c>
      <c r="U35" s="180">
        <f t="shared" si="9"/>
        <v>133.33333333333334</v>
      </c>
      <c r="V35" s="180">
        <f t="shared" si="9"/>
        <v>133.33333333333334</v>
      </c>
      <c r="W35" s="180">
        <f t="shared" si="9"/>
        <v>133.33333333333334</v>
      </c>
      <c r="X35" s="180">
        <f t="shared" si="9"/>
        <v>133.33333333333334</v>
      </c>
      <c r="Y35" s="153" t="s">
        <v>99</v>
      </c>
    </row>
    <row r="36" spans="1:25" outlineLevel="1" x14ac:dyDescent="0.25">
      <c r="A36" s="133"/>
      <c r="B36" s="133"/>
      <c r="C36" s="133"/>
      <c r="D36" s="133"/>
      <c r="E36" s="133"/>
      <c r="F36" s="133" t="s">
        <v>100</v>
      </c>
      <c r="G36" s="144"/>
      <c r="H36" s="144"/>
      <c r="I36" s="144"/>
      <c r="J36" s="144"/>
      <c r="K36" s="145">
        <f t="shared" si="8"/>
        <v>0</v>
      </c>
      <c r="L36" s="146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1"/>
    </row>
    <row r="37" spans="1:25" outlineLevel="1" x14ac:dyDescent="0.25">
      <c r="A37" s="133"/>
      <c r="B37" s="133"/>
      <c r="C37" s="133"/>
      <c r="D37" s="133"/>
      <c r="E37" s="133"/>
      <c r="F37" s="133" t="s">
        <v>101</v>
      </c>
      <c r="G37" s="144"/>
      <c r="H37" s="144"/>
      <c r="I37" s="144"/>
      <c r="J37" s="144"/>
      <c r="K37" s="145">
        <f t="shared" si="8"/>
        <v>0</v>
      </c>
      <c r="L37" s="146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1"/>
    </row>
    <row r="38" spans="1:25" x14ac:dyDescent="0.25">
      <c r="A38" s="133"/>
      <c r="B38" s="133"/>
      <c r="C38" s="133"/>
      <c r="D38" s="133"/>
      <c r="E38" s="133" t="s">
        <v>102</v>
      </c>
      <c r="F38" s="133"/>
      <c r="G38" s="144"/>
      <c r="H38" s="144"/>
      <c r="I38" s="144"/>
      <c r="J38" s="144"/>
      <c r="K38" s="145">
        <f t="shared" si="8"/>
        <v>0</v>
      </c>
      <c r="L38" s="146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1"/>
    </row>
    <row r="39" spans="1:25" x14ac:dyDescent="0.25">
      <c r="A39" s="133"/>
      <c r="B39" s="133"/>
      <c r="C39" s="133"/>
      <c r="D39" s="133"/>
      <c r="E39" s="133" t="s">
        <v>103</v>
      </c>
      <c r="F39" s="133"/>
      <c r="G39" s="144"/>
      <c r="H39" s="144"/>
      <c r="I39" s="144"/>
      <c r="J39" s="144"/>
      <c r="K39" s="145">
        <f t="shared" si="8"/>
        <v>0</v>
      </c>
      <c r="L39" s="146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</row>
    <row r="40" spans="1:25" x14ac:dyDescent="0.25">
      <c r="A40" s="133"/>
      <c r="B40" s="133"/>
      <c r="C40" s="133"/>
      <c r="D40" s="133"/>
      <c r="E40" s="133" t="s">
        <v>104</v>
      </c>
      <c r="F40" s="133"/>
      <c r="G40" s="144"/>
      <c r="H40" s="144"/>
      <c r="I40" s="144"/>
      <c r="J40" s="144"/>
      <c r="K40" s="145">
        <f t="shared" si="8"/>
        <v>0</v>
      </c>
      <c r="L40" s="146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1"/>
    </row>
    <row r="41" spans="1:25" x14ac:dyDescent="0.25">
      <c r="A41" s="133"/>
      <c r="B41" s="133"/>
      <c r="C41" s="133"/>
      <c r="D41" s="133"/>
      <c r="E41" s="133" t="s">
        <v>105</v>
      </c>
      <c r="F41" s="133"/>
      <c r="G41" s="144"/>
      <c r="H41" s="144"/>
      <c r="I41" s="144"/>
      <c r="J41" s="144"/>
      <c r="K41" s="145">
        <f t="shared" si="8"/>
        <v>0</v>
      </c>
      <c r="L41" s="146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1"/>
    </row>
    <row r="42" spans="1:25" x14ac:dyDescent="0.25">
      <c r="A42" s="133"/>
      <c r="B42" s="133"/>
      <c r="C42" s="133"/>
      <c r="D42" s="133"/>
      <c r="E42" s="133" t="s">
        <v>106</v>
      </c>
      <c r="F42" s="128"/>
      <c r="G42" s="144"/>
      <c r="H42" s="144"/>
      <c r="I42" s="144"/>
      <c r="J42" s="144"/>
      <c r="K42" s="145">
        <f t="shared" si="8"/>
        <v>0</v>
      </c>
      <c r="L42" s="181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3"/>
      <c r="Y42" s="153" t="s">
        <v>99</v>
      </c>
    </row>
    <row r="43" spans="1:25" x14ac:dyDescent="0.25">
      <c r="A43" s="133"/>
      <c r="B43" s="133"/>
      <c r="C43" s="133"/>
      <c r="D43" s="133"/>
      <c r="E43" s="133" t="s">
        <v>107</v>
      </c>
      <c r="F43" s="133"/>
      <c r="G43" s="144"/>
      <c r="H43" s="144"/>
      <c r="I43" s="144"/>
      <c r="J43" s="144"/>
      <c r="K43" s="145">
        <f t="shared" si="8"/>
        <v>0</v>
      </c>
      <c r="L43" s="146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1"/>
    </row>
    <row r="44" spans="1:25" outlineLevel="1" x14ac:dyDescent="0.25">
      <c r="A44" s="133"/>
      <c r="B44" s="133"/>
      <c r="C44" s="133"/>
      <c r="D44" s="133"/>
      <c r="E44" s="133"/>
      <c r="F44" s="133" t="s">
        <v>108</v>
      </c>
      <c r="G44" s="144"/>
      <c r="H44" s="144"/>
      <c r="I44" s="144"/>
      <c r="J44" s="144"/>
      <c r="K44" s="145">
        <f t="shared" si="8"/>
        <v>0</v>
      </c>
      <c r="L44" s="159">
        <f>[1]Supporting!N76</f>
        <v>979.78200000000015</v>
      </c>
      <c r="M44" s="180">
        <f>$L44/12</f>
        <v>81.648500000000013</v>
      </c>
      <c r="N44" s="180">
        <f t="shared" ref="N44:X45" si="10">$L44/12</f>
        <v>81.648500000000013</v>
      </c>
      <c r="O44" s="180">
        <f t="shared" si="10"/>
        <v>81.648500000000013</v>
      </c>
      <c r="P44" s="180">
        <f t="shared" si="10"/>
        <v>81.648500000000013</v>
      </c>
      <c r="Q44" s="180">
        <f t="shared" si="10"/>
        <v>81.648500000000013</v>
      </c>
      <c r="R44" s="180">
        <f t="shared" si="10"/>
        <v>81.648500000000013</v>
      </c>
      <c r="S44" s="180">
        <f t="shared" si="10"/>
        <v>81.648500000000013</v>
      </c>
      <c r="T44" s="180">
        <f t="shared" si="10"/>
        <v>81.648500000000013</v>
      </c>
      <c r="U44" s="180">
        <f t="shared" si="10"/>
        <v>81.648500000000013</v>
      </c>
      <c r="V44" s="180">
        <f t="shared" si="10"/>
        <v>81.648500000000013</v>
      </c>
      <c r="W44" s="180">
        <f t="shared" si="10"/>
        <v>81.648500000000013</v>
      </c>
      <c r="X44" s="180">
        <f t="shared" si="10"/>
        <v>81.648500000000013</v>
      </c>
      <c r="Y44" s="153" t="s">
        <v>99</v>
      </c>
    </row>
    <row r="45" spans="1:25" outlineLevel="1" x14ac:dyDescent="0.25">
      <c r="A45" s="133"/>
      <c r="B45" s="133"/>
      <c r="C45" s="133"/>
      <c r="D45" s="133"/>
      <c r="E45" s="133"/>
      <c r="F45" s="133" t="s">
        <v>109</v>
      </c>
      <c r="G45" s="144"/>
      <c r="H45" s="144"/>
      <c r="I45" s="144"/>
      <c r="J45" s="144"/>
      <c r="K45" s="145">
        <f t="shared" si="8"/>
        <v>0</v>
      </c>
      <c r="L45" s="159">
        <f>[1]Supporting!N92</f>
        <v>1863.8</v>
      </c>
      <c r="M45" s="180">
        <f>$L45/12</f>
        <v>155.31666666666666</v>
      </c>
      <c r="N45" s="180">
        <f t="shared" si="10"/>
        <v>155.31666666666666</v>
      </c>
      <c r="O45" s="180">
        <f t="shared" si="10"/>
        <v>155.31666666666666</v>
      </c>
      <c r="P45" s="180">
        <f t="shared" si="10"/>
        <v>155.31666666666666</v>
      </c>
      <c r="Q45" s="180">
        <f t="shared" si="10"/>
        <v>155.31666666666666</v>
      </c>
      <c r="R45" s="180">
        <f t="shared" si="10"/>
        <v>155.31666666666666</v>
      </c>
      <c r="S45" s="180">
        <f t="shared" si="10"/>
        <v>155.31666666666666</v>
      </c>
      <c r="T45" s="180">
        <f t="shared" si="10"/>
        <v>155.31666666666666</v>
      </c>
      <c r="U45" s="180">
        <f t="shared" si="10"/>
        <v>155.31666666666666</v>
      </c>
      <c r="V45" s="180">
        <f t="shared" si="10"/>
        <v>155.31666666666666</v>
      </c>
      <c r="W45" s="180">
        <f t="shared" si="10"/>
        <v>155.31666666666666</v>
      </c>
      <c r="X45" s="180">
        <f t="shared" si="10"/>
        <v>155.31666666666666</v>
      </c>
      <c r="Y45" s="153" t="s">
        <v>99</v>
      </c>
    </row>
    <row r="46" spans="1:25" outlineLevel="1" x14ac:dyDescent="0.25">
      <c r="A46" s="133"/>
      <c r="B46" s="133"/>
      <c r="C46" s="133"/>
      <c r="D46" s="133"/>
      <c r="E46" s="133"/>
      <c r="F46" s="133" t="s">
        <v>110</v>
      </c>
      <c r="G46" s="144"/>
      <c r="H46" s="144"/>
      <c r="I46" s="144"/>
      <c r="J46" s="144"/>
      <c r="K46" s="145">
        <f t="shared" si="8"/>
        <v>0</v>
      </c>
      <c r="L46" s="159">
        <f>[1]Supporting!N102</f>
        <v>2359.4</v>
      </c>
      <c r="M46" s="180">
        <f t="shared" ref="M46:X49" si="11">$L46/12</f>
        <v>196.61666666666667</v>
      </c>
      <c r="N46" s="180">
        <f t="shared" si="11"/>
        <v>196.61666666666667</v>
      </c>
      <c r="O46" s="180">
        <f t="shared" si="11"/>
        <v>196.61666666666667</v>
      </c>
      <c r="P46" s="180">
        <f t="shared" si="11"/>
        <v>196.61666666666667</v>
      </c>
      <c r="Q46" s="180">
        <f t="shared" si="11"/>
        <v>196.61666666666667</v>
      </c>
      <c r="R46" s="180">
        <f t="shared" si="11"/>
        <v>196.61666666666667</v>
      </c>
      <c r="S46" s="180">
        <f t="shared" si="11"/>
        <v>196.61666666666667</v>
      </c>
      <c r="T46" s="180">
        <f t="shared" si="11"/>
        <v>196.61666666666667</v>
      </c>
      <c r="U46" s="180">
        <f t="shared" si="11"/>
        <v>196.61666666666667</v>
      </c>
      <c r="V46" s="180">
        <f t="shared" si="11"/>
        <v>196.61666666666667</v>
      </c>
      <c r="W46" s="180">
        <f t="shared" si="11"/>
        <v>196.61666666666667</v>
      </c>
      <c r="X46" s="180">
        <f t="shared" si="11"/>
        <v>196.61666666666667</v>
      </c>
      <c r="Y46" s="153" t="s">
        <v>99</v>
      </c>
    </row>
    <row r="47" spans="1:25" outlineLevel="1" x14ac:dyDescent="0.25">
      <c r="A47" s="133"/>
      <c r="B47" s="133"/>
      <c r="C47" s="133"/>
      <c r="D47" s="133"/>
      <c r="E47" s="133"/>
      <c r="F47" s="133" t="s">
        <v>111</v>
      </c>
      <c r="G47" s="144"/>
      <c r="H47" s="144"/>
      <c r="I47" s="144"/>
      <c r="J47" s="144"/>
      <c r="K47" s="145">
        <f t="shared" si="8"/>
        <v>0</v>
      </c>
      <c r="L47" s="159">
        <f>[1]Supporting!N104</f>
        <v>31663.800000000003</v>
      </c>
      <c r="M47" s="180">
        <f t="shared" si="11"/>
        <v>2638.65</v>
      </c>
      <c r="N47" s="180">
        <f t="shared" si="11"/>
        <v>2638.65</v>
      </c>
      <c r="O47" s="180">
        <f t="shared" si="11"/>
        <v>2638.65</v>
      </c>
      <c r="P47" s="180">
        <f t="shared" si="11"/>
        <v>2638.65</v>
      </c>
      <c r="Q47" s="180">
        <f t="shared" si="11"/>
        <v>2638.65</v>
      </c>
      <c r="R47" s="180">
        <f t="shared" si="11"/>
        <v>2638.65</v>
      </c>
      <c r="S47" s="180">
        <f t="shared" si="11"/>
        <v>2638.65</v>
      </c>
      <c r="T47" s="180">
        <f t="shared" si="11"/>
        <v>2638.65</v>
      </c>
      <c r="U47" s="180">
        <f t="shared" si="11"/>
        <v>2638.65</v>
      </c>
      <c r="V47" s="180">
        <f t="shared" si="11"/>
        <v>2638.65</v>
      </c>
      <c r="W47" s="180">
        <f t="shared" si="11"/>
        <v>2638.65</v>
      </c>
      <c r="X47" s="180">
        <f t="shared" si="11"/>
        <v>2638.65</v>
      </c>
    </row>
    <row r="48" spans="1:25" outlineLevel="1" x14ac:dyDescent="0.25">
      <c r="A48" s="133"/>
      <c r="B48" s="133"/>
      <c r="C48" s="133"/>
      <c r="D48" s="133"/>
      <c r="E48" s="133"/>
      <c r="F48" s="133" t="s">
        <v>112</v>
      </c>
      <c r="G48" s="144"/>
      <c r="H48" s="144"/>
      <c r="I48" s="144"/>
      <c r="J48" s="144"/>
      <c r="K48" s="145">
        <f t="shared" si="8"/>
        <v>0</v>
      </c>
      <c r="L48" s="159">
        <f>[1]Supporting!N106</f>
        <v>4200</v>
      </c>
      <c r="M48" s="180">
        <f t="shared" si="11"/>
        <v>350</v>
      </c>
      <c r="N48" s="180">
        <f t="shared" si="11"/>
        <v>350</v>
      </c>
      <c r="O48" s="180">
        <f t="shared" si="11"/>
        <v>350</v>
      </c>
      <c r="P48" s="180">
        <f t="shared" si="11"/>
        <v>350</v>
      </c>
      <c r="Q48" s="180">
        <f t="shared" si="11"/>
        <v>350</v>
      </c>
      <c r="R48" s="180">
        <f t="shared" si="11"/>
        <v>350</v>
      </c>
      <c r="S48" s="180">
        <f t="shared" si="11"/>
        <v>350</v>
      </c>
      <c r="T48" s="180">
        <f t="shared" si="11"/>
        <v>350</v>
      </c>
      <c r="U48" s="180">
        <f t="shared" si="11"/>
        <v>350</v>
      </c>
      <c r="V48" s="180">
        <f t="shared" si="11"/>
        <v>350</v>
      </c>
      <c r="W48" s="180">
        <f t="shared" si="11"/>
        <v>350</v>
      </c>
      <c r="X48" s="180">
        <f t="shared" si="11"/>
        <v>350</v>
      </c>
      <c r="Y48" s="153" t="s">
        <v>99</v>
      </c>
    </row>
    <row r="49" spans="1:25" outlineLevel="1" x14ac:dyDescent="0.25">
      <c r="A49" s="133"/>
      <c r="B49" s="133"/>
      <c r="C49" s="133"/>
      <c r="D49" s="133"/>
      <c r="E49" s="133"/>
      <c r="F49" s="133" t="s">
        <v>113</v>
      </c>
      <c r="G49" s="144"/>
      <c r="H49" s="144"/>
      <c r="I49" s="144"/>
      <c r="J49" s="144"/>
      <c r="K49" s="145">
        <f t="shared" si="8"/>
        <v>0</v>
      </c>
      <c r="L49" s="159">
        <f>[1]Supporting!N114</f>
        <v>20230</v>
      </c>
      <c r="M49" s="180">
        <f t="shared" si="11"/>
        <v>1685.8333333333333</v>
      </c>
      <c r="N49" s="180">
        <f t="shared" si="11"/>
        <v>1685.8333333333333</v>
      </c>
      <c r="O49" s="180">
        <f t="shared" si="11"/>
        <v>1685.8333333333333</v>
      </c>
      <c r="P49" s="180">
        <f t="shared" si="11"/>
        <v>1685.8333333333333</v>
      </c>
      <c r="Q49" s="180">
        <f t="shared" si="11"/>
        <v>1685.8333333333333</v>
      </c>
      <c r="R49" s="180">
        <f t="shared" si="11"/>
        <v>1685.8333333333333</v>
      </c>
      <c r="S49" s="180">
        <f t="shared" si="11"/>
        <v>1685.8333333333333</v>
      </c>
      <c r="T49" s="180">
        <f t="shared" si="11"/>
        <v>1685.8333333333333</v>
      </c>
      <c r="U49" s="180">
        <f t="shared" si="11"/>
        <v>1685.8333333333333</v>
      </c>
      <c r="V49" s="180">
        <f t="shared" si="11"/>
        <v>1685.8333333333333</v>
      </c>
      <c r="W49" s="180">
        <f t="shared" si="11"/>
        <v>1685.8333333333333</v>
      </c>
      <c r="X49" s="180">
        <f t="shared" si="11"/>
        <v>1685.8333333333333</v>
      </c>
      <c r="Y49" s="153" t="s">
        <v>99</v>
      </c>
    </row>
    <row r="50" spans="1:25" x14ac:dyDescent="0.25">
      <c r="A50" s="133"/>
      <c r="B50" s="133"/>
      <c r="C50" s="133"/>
      <c r="D50" s="133"/>
      <c r="E50" s="133" t="s">
        <v>114</v>
      </c>
      <c r="F50" s="133"/>
      <c r="G50" s="144"/>
      <c r="H50" s="144"/>
      <c r="I50" s="144"/>
      <c r="J50" s="144"/>
      <c r="K50" s="145">
        <f t="shared" si="8"/>
        <v>0</v>
      </c>
      <c r="L50" s="184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</row>
    <row r="51" spans="1:25" outlineLevel="1" x14ac:dyDescent="0.25">
      <c r="A51" s="133"/>
      <c r="B51" s="133"/>
      <c r="C51" s="133"/>
      <c r="D51" s="133"/>
      <c r="E51" s="133"/>
      <c r="F51" s="133" t="s">
        <v>115</v>
      </c>
      <c r="G51" s="144"/>
      <c r="H51" s="144"/>
      <c r="I51" s="144"/>
      <c r="J51" s="144"/>
      <c r="K51" s="145">
        <f t="shared" si="8"/>
        <v>0</v>
      </c>
      <c r="L51" s="159">
        <f>[1]Supporting!N117</f>
        <v>4101.6000000000004</v>
      </c>
      <c r="M51" s="180">
        <f>$L51/12</f>
        <v>341.8</v>
      </c>
      <c r="N51" s="180">
        <f t="shared" ref="N51:X53" si="12">$L51/12</f>
        <v>341.8</v>
      </c>
      <c r="O51" s="180">
        <f t="shared" si="12"/>
        <v>341.8</v>
      </c>
      <c r="P51" s="180">
        <f t="shared" si="12"/>
        <v>341.8</v>
      </c>
      <c r="Q51" s="180">
        <f t="shared" si="12"/>
        <v>341.8</v>
      </c>
      <c r="R51" s="180">
        <f t="shared" si="12"/>
        <v>341.8</v>
      </c>
      <c r="S51" s="180">
        <f t="shared" si="12"/>
        <v>341.8</v>
      </c>
      <c r="T51" s="180">
        <f t="shared" si="12"/>
        <v>341.8</v>
      </c>
      <c r="U51" s="180">
        <f t="shared" si="12"/>
        <v>341.8</v>
      </c>
      <c r="V51" s="180">
        <f t="shared" si="12"/>
        <v>341.8</v>
      </c>
      <c r="W51" s="180">
        <f t="shared" si="12"/>
        <v>341.8</v>
      </c>
      <c r="X51" s="180">
        <f t="shared" si="12"/>
        <v>341.8</v>
      </c>
      <c r="Y51" s="153" t="s">
        <v>99</v>
      </c>
    </row>
    <row r="52" spans="1:25" outlineLevel="1" x14ac:dyDescent="0.25">
      <c r="A52" s="133"/>
      <c r="B52" s="133"/>
      <c r="C52" s="133"/>
      <c r="D52" s="133"/>
      <c r="E52" s="133"/>
      <c r="F52" s="133" t="s">
        <v>116</v>
      </c>
      <c r="G52" s="144"/>
      <c r="H52" s="144"/>
      <c r="I52" s="144"/>
      <c r="J52" s="144"/>
      <c r="K52" s="145">
        <f t="shared" si="8"/>
        <v>0</v>
      </c>
      <c r="L52" s="159">
        <f>[1]Supporting!N118</f>
        <v>6245.6</v>
      </c>
      <c r="M52" s="180">
        <f>$L52/12</f>
        <v>520.4666666666667</v>
      </c>
      <c r="N52" s="180">
        <f t="shared" si="12"/>
        <v>520.4666666666667</v>
      </c>
      <c r="O52" s="180">
        <f t="shared" si="12"/>
        <v>520.4666666666667</v>
      </c>
      <c r="P52" s="180">
        <f t="shared" si="12"/>
        <v>520.4666666666667</v>
      </c>
      <c r="Q52" s="180">
        <f t="shared" si="12"/>
        <v>520.4666666666667</v>
      </c>
      <c r="R52" s="180">
        <f t="shared" si="12"/>
        <v>520.4666666666667</v>
      </c>
      <c r="S52" s="180">
        <f t="shared" si="12"/>
        <v>520.4666666666667</v>
      </c>
      <c r="T52" s="180">
        <f t="shared" si="12"/>
        <v>520.4666666666667</v>
      </c>
      <c r="U52" s="180">
        <f t="shared" si="12"/>
        <v>520.4666666666667</v>
      </c>
      <c r="V52" s="180">
        <f t="shared" si="12"/>
        <v>520.4666666666667</v>
      </c>
      <c r="W52" s="180">
        <f t="shared" si="12"/>
        <v>520.4666666666667</v>
      </c>
      <c r="X52" s="180">
        <f t="shared" si="12"/>
        <v>520.4666666666667</v>
      </c>
      <c r="Y52" s="153" t="s">
        <v>99</v>
      </c>
    </row>
    <row r="53" spans="1:25" x14ac:dyDescent="0.25">
      <c r="A53" s="133"/>
      <c r="B53" s="133"/>
      <c r="C53" s="133"/>
      <c r="D53" s="133"/>
      <c r="E53" s="133" t="s">
        <v>117</v>
      </c>
      <c r="F53" s="133"/>
      <c r="G53" s="144"/>
      <c r="H53" s="144"/>
      <c r="I53" s="144"/>
      <c r="J53" s="144"/>
      <c r="K53" s="145">
        <f t="shared" si="8"/>
        <v>0</v>
      </c>
      <c r="L53" s="160">
        <v>200</v>
      </c>
      <c r="M53" s="186">
        <f>$L53/12</f>
        <v>16.666666666666668</v>
      </c>
      <c r="N53" s="186">
        <f t="shared" si="12"/>
        <v>16.666666666666668</v>
      </c>
      <c r="O53" s="186">
        <f t="shared" si="12"/>
        <v>16.666666666666668</v>
      </c>
      <c r="P53" s="186">
        <f t="shared" si="12"/>
        <v>16.666666666666668</v>
      </c>
      <c r="Q53" s="186">
        <f t="shared" si="12"/>
        <v>16.666666666666668</v>
      </c>
      <c r="R53" s="186">
        <f t="shared" si="12"/>
        <v>16.666666666666668</v>
      </c>
      <c r="S53" s="186">
        <f t="shared" si="12"/>
        <v>16.666666666666668</v>
      </c>
      <c r="T53" s="186">
        <f t="shared" si="12"/>
        <v>16.666666666666668</v>
      </c>
      <c r="U53" s="186">
        <f t="shared" si="12"/>
        <v>16.666666666666668</v>
      </c>
      <c r="V53" s="186">
        <f t="shared" si="12"/>
        <v>16.666666666666668</v>
      </c>
      <c r="W53" s="186">
        <f t="shared" si="12"/>
        <v>16.666666666666668</v>
      </c>
      <c r="X53" s="186">
        <f t="shared" si="12"/>
        <v>16.666666666666668</v>
      </c>
      <c r="Y53" s="153" t="s">
        <v>118</v>
      </c>
    </row>
    <row r="54" spans="1:25" x14ac:dyDescent="0.25">
      <c r="A54" s="133"/>
      <c r="B54" s="133"/>
      <c r="C54" s="133"/>
      <c r="D54" s="133"/>
      <c r="E54" s="133" t="s">
        <v>9</v>
      </c>
      <c r="F54" s="133"/>
      <c r="G54" s="144"/>
      <c r="H54" s="144"/>
      <c r="I54" s="144"/>
      <c r="J54" s="144"/>
      <c r="K54" s="145">
        <f t="shared" si="8"/>
        <v>0</v>
      </c>
      <c r="L54" s="159">
        <f>[2]Salary!$R$37</f>
        <v>176938.59999999998</v>
      </c>
      <c r="M54" s="187">
        <f>$L54/52*4</f>
        <v>13610.661538461536</v>
      </c>
      <c r="N54" s="187">
        <f t="shared" ref="N54:W54" si="13">$L54/52*4</f>
        <v>13610.661538461536</v>
      </c>
      <c r="O54" s="187">
        <f>$L54/52*5</f>
        <v>17013.326923076922</v>
      </c>
      <c r="P54" s="187">
        <f t="shared" si="13"/>
        <v>13610.661538461536</v>
      </c>
      <c r="Q54" s="187">
        <f t="shared" si="13"/>
        <v>13610.661538461536</v>
      </c>
      <c r="R54" s="187">
        <f>$L54/52*5</f>
        <v>17013.326923076922</v>
      </c>
      <c r="S54" s="187">
        <f t="shared" si="13"/>
        <v>13610.661538461536</v>
      </c>
      <c r="T54" s="187">
        <f t="shared" si="13"/>
        <v>13610.661538461536</v>
      </c>
      <c r="U54" s="187">
        <f>$L54/52*5</f>
        <v>17013.326923076922</v>
      </c>
      <c r="V54" s="187">
        <f t="shared" si="13"/>
        <v>13610.661538461536</v>
      </c>
      <c r="W54" s="187">
        <f t="shared" si="13"/>
        <v>13610.661538461536</v>
      </c>
      <c r="X54" s="188">
        <f>$L54/52*5</f>
        <v>17013.326923076922</v>
      </c>
      <c r="Y54" s="153" t="s">
        <v>119</v>
      </c>
    </row>
    <row r="55" spans="1:25" outlineLevel="1" x14ac:dyDescent="0.25">
      <c r="A55" s="133"/>
      <c r="B55" s="133"/>
      <c r="C55" s="133"/>
      <c r="D55" s="133"/>
      <c r="E55" s="133"/>
      <c r="F55" s="133" t="s">
        <v>120</v>
      </c>
      <c r="G55" s="144"/>
      <c r="H55" s="144"/>
      <c r="I55" s="144"/>
      <c r="J55" s="144"/>
      <c r="K55" s="145">
        <f t="shared" si="8"/>
        <v>0</v>
      </c>
      <c r="L55" s="146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1"/>
    </row>
    <row r="56" spans="1:25" outlineLevel="1" x14ac:dyDescent="0.25">
      <c r="A56" s="133"/>
      <c r="B56" s="133"/>
      <c r="C56" s="133"/>
      <c r="D56" s="133"/>
      <c r="E56" s="133"/>
      <c r="F56" s="133" t="s">
        <v>121</v>
      </c>
      <c r="G56" s="144"/>
      <c r="H56" s="144"/>
      <c r="I56" s="144"/>
      <c r="J56" s="144"/>
      <c r="K56" s="145">
        <f t="shared" si="8"/>
        <v>0</v>
      </c>
      <c r="L56" s="146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1"/>
    </row>
    <row r="57" spans="1:25" x14ac:dyDescent="0.25">
      <c r="A57" s="133"/>
      <c r="B57" s="133"/>
      <c r="C57" s="133"/>
      <c r="D57" s="133"/>
      <c r="E57" s="133" t="s">
        <v>122</v>
      </c>
      <c r="F57" s="133"/>
      <c r="G57" s="144"/>
      <c r="H57" s="144"/>
      <c r="I57" s="144"/>
      <c r="J57" s="144"/>
      <c r="K57" s="145">
        <f t="shared" si="8"/>
        <v>0</v>
      </c>
      <c r="L57" s="146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1"/>
      <c r="Y57" s="128" t="s">
        <v>123</v>
      </c>
    </row>
    <row r="58" spans="1:25" outlineLevel="1" x14ac:dyDescent="0.25">
      <c r="A58" s="133"/>
      <c r="B58" s="133"/>
      <c r="C58" s="133"/>
      <c r="D58" s="133"/>
      <c r="E58" s="133"/>
      <c r="F58" s="133" t="s">
        <v>124</v>
      </c>
      <c r="G58" s="144"/>
      <c r="H58" s="144"/>
      <c r="I58" s="144"/>
      <c r="J58" s="144"/>
      <c r="K58" s="145">
        <f t="shared" si="8"/>
        <v>0</v>
      </c>
      <c r="L58" s="159">
        <f>[2]Salary!$R$55</f>
        <v>15305.188899999997</v>
      </c>
      <c r="M58" s="187">
        <f>$L58/52*4</f>
        <v>1177.3222230769229</v>
      </c>
      <c r="N58" s="187">
        <f t="shared" ref="N58:W62" si="14">$L58/52*4</f>
        <v>1177.3222230769229</v>
      </c>
      <c r="O58" s="187">
        <f>$L58/52*5</f>
        <v>1471.6527788461535</v>
      </c>
      <c r="P58" s="187">
        <f t="shared" si="14"/>
        <v>1177.3222230769229</v>
      </c>
      <c r="Q58" s="187">
        <f t="shared" si="14"/>
        <v>1177.3222230769229</v>
      </c>
      <c r="R58" s="187">
        <f>$L58/52*5</f>
        <v>1471.6527788461535</v>
      </c>
      <c r="S58" s="187">
        <f t="shared" si="14"/>
        <v>1177.3222230769229</v>
      </c>
      <c r="T58" s="187">
        <f t="shared" si="14"/>
        <v>1177.3222230769229</v>
      </c>
      <c r="U58" s="187">
        <f>$L58/52*5</f>
        <v>1471.6527788461535</v>
      </c>
      <c r="V58" s="187">
        <f t="shared" si="14"/>
        <v>1177.3222230769229</v>
      </c>
      <c r="W58" s="187">
        <f t="shared" si="14"/>
        <v>1177.3222230769229</v>
      </c>
      <c r="X58" s="188">
        <f>$L58/52*5</f>
        <v>1471.6527788461535</v>
      </c>
      <c r="Y58" s="153" t="s">
        <v>119</v>
      </c>
    </row>
    <row r="59" spans="1:25" outlineLevel="1" x14ac:dyDescent="0.25">
      <c r="A59" s="133"/>
      <c r="B59" s="133"/>
      <c r="C59" s="133"/>
      <c r="D59" s="133"/>
      <c r="E59" s="133"/>
      <c r="F59" s="133" t="s">
        <v>125</v>
      </c>
      <c r="G59" s="144"/>
      <c r="H59" s="144"/>
      <c r="I59" s="144"/>
      <c r="J59" s="144"/>
      <c r="K59" s="145">
        <f t="shared" si="8"/>
        <v>0</v>
      </c>
      <c r="L59" s="159">
        <f>[2]Salary!$R$58</f>
        <v>21892.621999999999</v>
      </c>
      <c r="M59" s="187">
        <f>$L59/52*4</f>
        <v>1684.0478461538462</v>
      </c>
      <c r="N59" s="187">
        <f t="shared" si="14"/>
        <v>1684.0478461538462</v>
      </c>
      <c r="O59" s="187">
        <f>$L59/52*5</f>
        <v>2105.0598076923079</v>
      </c>
      <c r="P59" s="187">
        <f t="shared" si="14"/>
        <v>1684.0478461538462</v>
      </c>
      <c r="Q59" s="187">
        <f t="shared" si="14"/>
        <v>1684.0478461538462</v>
      </c>
      <c r="R59" s="187">
        <f>$L59/52*5</f>
        <v>2105.0598076923079</v>
      </c>
      <c r="S59" s="187">
        <f t="shared" si="14"/>
        <v>1684.0478461538462</v>
      </c>
      <c r="T59" s="187">
        <f t="shared" si="14"/>
        <v>1684.0478461538462</v>
      </c>
      <c r="U59" s="187">
        <f>$L59/52*5</f>
        <v>2105.0598076923079</v>
      </c>
      <c r="V59" s="187">
        <f t="shared" si="14"/>
        <v>1684.0478461538462</v>
      </c>
      <c r="W59" s="187">
        <f t="shared" si="14"/>
        <v>1684.0478461538462</v>
      </c>
      <c r="X59" s="188">
        <f>$L59/52*5</f>
        <v>2105.0598076923079</v>
      </c>
      <c r="Y59" s="153" t="s">
        <v>119</v>
      </c>
    </row>
    <row r="60" spans="1:25" outlineLevel="1" x14ac:dyDescent="0.25">
      <c r="A60" s="133"/>
      <c r="B60" s="133"/>
      <c r="C60" s="133"/>
      <c r="D60" s="133"/>
      <c r="E60" s="133"/>
      <c r="F60" s="133" t="s">
        <v>126</v>
      </c>
      <c r="G60" s="144"/>
      <c r="H60" s="144"/>
      <c r="I60" s="144"/>
      <c r="J60" s="144"/>
      <c r="K60" s="145">
        <f t="shared" si="8"/>
        <v>0</v>
      </c>
      <c r="L60" s="160"/>
      <c r="M60" s="187">
        <f t="shared" ref="M60:M63" si="15">$L60/52*4</f>
        <v>0</v>
      </c>
      <c r="N60" s="187">
        <f t="shared" si="14"/>
        <v>0</v>
      </c>
      <c r="O60" s="187">
        <f t="shared" ref="O60:O63" si="16">$L60/52*5</f>
        <v>0</v>
      </c>
      <c r="P60" s="187">
        <f t="shared" si="14"/>
        <v>0</v>
      </c>
      <c r="Q60" s="187">
        <f t="shared" si="14"/>
        <v>0</v>
      </c>
      <c r="R60" s="187">
        <f t="shared" ref="R60:R63" si="17">$L60/52*5</f>
        <v>0</v>
      </c>
      <c r="S60" s="187">
        <f t="shared" si="14"/>
        <v>0</v>
      </c>
      <c r="T60" s="187">
        <f t="shared" si="14"/>
        <v>0</v>
      </c>
      <c r="U60" s="187">
        <f t="shared" ref="U60:U63" si="18">$L60/52*5</f>
        <v>0</v>
      </c>
      <c r="V60" s="187">
        <f t="shared" si="14"/>
        <v>0</v>
      </c>
      <c r="W60" s="187">
        <f t="shared" si="14"/>
        <v>0</v>
      </c>
      <c r="X60" s="188">
        <f t="shared" ref="X60:X63" si="19">$L60/52*5</f>
        <v>0</v>
      </c>
      <c r="Y60" s="153" t="s">
        <v>99</v>
      </c>
    </row>
    <row r="61" spans="1:25" x14ac:dyDescent="0.25">
      <c r="A61" s="133"/>
      <c r="B61" s="133"/>
      <c r="C61" s="133"/>
      <c r="D61" s="133"/>
      <c r="E61" s="133" t="s">
        <v>127</v>
      </c>
      <c r="F61" s="128"/>
      <c r="G61" s="144"/>
      <c r="H61" s="144"/>
      <c r="I61" s="144"/>
      <c r="J61" s="144"/>
      <c r="K61" s="145">
        <f t="shared" si="8"/>
        <v>0</v>
      </c>
      <c r="L61" s="189">
        <f>[2]Salary!$R$61</f>
        <v>8305.8239799999992</v>
      </c>
      <c r="M61" s="187">
        <f>$L61/52*4</f>
        <v>638.90953692307687</v>
      </c>
      <c r="N61" s="187">
        <f t="shared" si="14"/>
        <v>638.90953692307687</v>
      </c>
      <c r="O61" s="187">
        <f>$L61/52*5</f>
        <v>798.63692115384606</v>
      </c>
      <c r="P61" s="187">
        <f t="shared" si="14"/>
        <v>638.90953692307687</v>
      </c>
      <c r="Q61" s="187">
        <f t="shared" si="14"/>
        <v>638.90953692307687</v>
      </c>
      <c r="R61" s="187">
        <f>$L61/52*5</f>
        <v>798.63692115384606</v>
      </c>
      <c r="S61" s="187">
        <f t="shared" si="14"/>
        <v>638.90953692307687</v>
      </c>
      <c r="T61" s="187">
        <f t="shared" si="14"/>
        <v>638.90953692307687</v>
      </c>
      <c r="U61" s="187">
        <f>$L61/52*5</f>
        <v>798.63692115384606</v>
      </c>
      <c r="V61" s="187">
        <f t="shared" si="14"/>
        <v>638.90953692307687</v>
      </c>
      <c r="W61" s="187">
        <f t="shared" si="14"/>
        <v>638.90953692307687</v>
      </c>
      <c r="X61" s="188">
        <f>$L61/52*5</f>
        <v>798.63692115384606</v>
      </c>
      <c r="Y61" s="153" t="s">
        <v>119</v>
      </c>
    </row>
    <row r="62" spans="1:25" x14ac:dyDescent="0.25">
      <c r="A62" s="133"/>
      <c r="B62" s="133"/>
      <c r="C62" s="133"/>
      <c r="D62" s="133"/>
      <c r="E62" s="133" t="s">
        <v>128</v>
      </c>
      <c r="F62" s="133"/>
      <c r="G62" s="144"/>
      <c r="H62" s="144"/>
      <c r="I62" s="144"/>
      <c r="J62" s="144"/>
      <c r="K62" s="145">
        <f t="shared" si="8"/>
        <v>0</v>
      </c>
      <c r="L62" s="189">
        <f>[2]Salary!$R$38</f>
        <v>2727.9471224222762</v>
      </c>
      <c r="M62" s="187">
        <f>$L62/52*4</f>
        <v>209.84208634017509</v>
      </c>
      <c r="N62" s="187">
        <f t="shared" si="14"/>
        <v>209.84208634017509</v>
      </c>
      <c r="O62" s="187">
        <f>$L62/52*5</f>
        <v>262.30260792521887</v>
      </c>
      <c r="P62" s="187">
        <f t="shared" si="14"/>
        <v>209.84208634017509</v>
      </c>
      <c r="Q62" s="187">
        <f t="shared" si="14"/>
        <v>209.84208634017509</v>
      </c>
      <c r="R62" s="187">
        <f>$L62/52*5</f>
        <v>262.30260792521887</v>
      </c>
      <c r="S62" s="187">
        <f t="shared" si="14"/>
        <v>209.84208634017509</v>
      </c>
      <c r="T62" s="187">
        <f t="shared" si="14"/>
        <v>209.84208634017509</v>
      </c>
      <c r="U62" s="187">
        <f>$L62/52*5</f>
        <v>262.30260792521887</v>
      </c>
      <c r="V62" s="187">
        <f t="shared" si="14"/>
        <v>209.84208634017509</v>
      </c>
      <c r="W62" s="187">
        <f t="shared" si="14"/>
        <v>209.84208634017509</v>
      </c>
      <c r="X62" s="188">
        <f>$L62/52*5</f>
        <v>262.30260792521887</v>
      </c>
      <c r="Y62" s="153" t="s">
        <v>119</v>
      </c>
    </row>
    <row r="63" spans="1:25" x14ac:dyDescent="0.25">
      <c r="A63" s="133"/>
      <c r="B63" s="133"/>
      <c r="C63" s="133"/>
      <c r="D63" s="133"/>
      <c r="E63" s="133" t="s">
        <v>129</v>
      </c>
      <c r="F63" s="133"/>
      <c r="G63" s="144"/>
      <c r="H63" s="144"/>
      <c r="I63" s="144"/>
      <c r="J63" s="144"/>
      <c r="K63" s="145">
        <f t="shared" si="8"/>
        <v>0</v>
      </c>
      <c r="L63" s="184">
        <v>0</v>
      </c>
      <c r="M63" s="185">
        <f t="shared" si="15"/>
        <v>0</v>
      </c>
      <c r="N63" s="185">
        <f>$L63/52*4</f>
        <v>0</v>
      </c>
      <c r="O63" s="185">
        <f t="shared" si="16"/>
        <v>0</v>
      </c>
      <c r="P63" s="185">
        <f>$L63/52*4</f>
        <v>0</v>
      </c>
      <c r="Q63" s="185">
        <f>$L63/52*4</f>
        <v>0</v>
      </c>
      <c r="R63" s="185">
        <f t="shared" si="17"/>
        <v>0</v>
      </c>
      <c r="S63" s="185">
        <f>$L63/52*4</f>
        <v>0</v>
      </c>
      <c r="T63" s="185">
        <f>$L63/52*4</f>
        <v>0</v>
      </c>
      <c r="U63" s="185">
        <f t="shared" si="18"/>
        <v>0</v>
      </c>
      <c r="V63" s="185">
        <f>$L63/52*4</f>
        <v>0</v>
      </c>
      <c r="W63" s="185">
        <f>$L63/52*4</f>
        <v>0</v>
      </c>
      <c r="X63" s="190">
        <f t="shared" si="19"/>
        <v>0</v>
      </c>
      <c r="Y63" s="153" t="s">
        <v>99</v>
      </c>
    </row>
    <row r="64" spans="1:25" x14ac:dyDescent="0.25">
      <c r="A64" s="133"/>
      <c r="B64" s="133"/>
      <c r="C64" s="133"/>
      <c r="D64" s="133"/>
      <c r="E64" s="133" t="s">
        <v>130</v>
      </c>
      <c r="F64" s="133"/>
      <c r="H64" s="144"/>
      <c r="I64" s="144"/>
      <c r="J64" s="144"/>
      <c r="K64" s="145">
        <f t="shared" si="8"/>
        <v>0</v>
      </c>
      <c r="L64" s="159">
        <f>[1]Supporting!N145</f>
        <v>2987.4996999999998</v>
      </c>
      <c r="M64" s="180">
        <f>$L64/12</f>
        <v>248.95830833333332</v>
      </c>
      <c r="N64" s="180">
        <f t="shared" ref="N64:X64" si="20">$L64/12</f>
        <v>248.95830833333332</v>
      </c>
      <c r="O64" s="180">
        <f t="shared" si="20"/>
        <v>248.95830833333332</v>
      </c>
      <c r="P64" s="180">
        <f t="shared" si="20"/>
        <v>248.95830833333332</v>
      </c>
      <c r="Q64" s="180">
        <f t="shared" si="20"/>
        <v>248.95830833333332</v>
      </c>
      <c r="R64" s="180">
        <f t="shared" si="20"/>
        <v>248.95830833333332</v>
      </c>
      <c r="S64" s="180">
        <f t="shared" si="20"/>
        <v>248.95830833333332</v>
      </c>
      <c r="T64" s="180">
        <f t="shared" si="20"/>
        <v>248.95830833333332</v>
      </c>
      <c r="U64" s="180">
        <f t="shared" si="20"/>
        <v>248.95830833333332</v>
      </c>
      <c r="V64" s="180">
        <f t="shared" si="20"/>
        <v>248.95830833333332</v>
      </c>
      <c r="W64" s="180">
        <f t="shared" si="20"/>
        <v>248.95830833333332</v>
      </c>
      <c r="X64" s="180">
        <f t="shared" si="20"/>
        <v>248.95830833333332</v>
      </c>
      <c r="Y64" s="153" t="s">
        <v>99</v>
      </c>
    </row>
    <row r="65" spans="1:25" outlineLevel="1" x14ac:dyDescent="0.25">
      <c r="A65" s="133"/>
      <c r="B65" s="133"/>
      <c r="C65" s="133"/>
      <c r="D65" s="133"/>
      <c r="E65" s="133"/>
      <c r="F65" s="133" t="s">
        <v>131</v>
      </c>
      <c r="G65" s="144"/>
      <c r="H65" s="144"/>
      <c r="I65" s="144"/>
      <c r="J65" s="144"/>
      <c r="K65" s="145">
        <f t="shared" si="8"/>
        <v>0</v>
      </c>
      <c r="L65" s="178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1"/>
      <c r="Y65" s="128" t="s">
        <v>132</v>
      </c>
    </row>
    <row r="66" spans="1:25" outlineLevel="1" x14ac:dyDescent="0.25">
      <c r="A66" s="133"/>
      <c r="B66" s="133"/>
      <c r="C66" s="133"/>
      <c r="D66" s="133"/>
      <c r="E66" s="133"/>
      <c r="F66" s="133" t="s">
        <v>133</v>
      </c>
      <c r="G66" s="144"/>
      <c r="H66" s="144"/>
      <c r="I66" s="144"/>
      <c r="J66" s="144"/>
      <c r="K66" s="145">
        <f t="shared" si="8"/>
        <v>0</v>
      </c>
      <c r="L66" s="178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1"/>
      <c r="Y66" s="128" t="s">
        <v>134</v>
      </c>
    </row>
    <row r="67" spans="1:25" x14ac:dyDescent="0.25">
      <c r="A67" s="133"/>
      <c r="B67" s="133"/>
      <c r="C67" s="133"/>
      <c r="D67" s="133"/>
      <c r="E67" s="133" t="s">
        <v>135</v>
      </c>
      <c r="F67" s="133"/>
      <c r="G67" s="144"/>
      <c r="H67" s="144"/>
      <c r="I67" s="144"/>
      <c r="J67" s="144"/>
      <c r="K67" s="145">
        <f t="shared" si="8"/>
        <v>0</v>
      </c>
      <c r="L67" s="178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1"/>
    </row>
    <row r="68" spans="1:25" x14ac:dyDescent="0.25">
      <c r="A68" s="133"/>
      <c r="B68" s="133"/>
      <c r="C68" s="133"/>
      <c r="D68" s="133"/>
      <c r="E68" s="133" t="s">
        <v>136</v>
      </c>
      <c r="F68" s="133"/>
      <c r="G68" s="144"/>
      <c r="H68" s="144"/>
      <c r="I68" s="144"/>
      <c r="J68" s="144"/>
      <c r="K68" s="145">
        <f t="shared" si="8"/>
        <v>0</v>
      </c>
      <c r="L68" s="178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1"/>
    </row>
    <row r="69" spans="1:25" x14ac:dyDescent="0.25">
      <c r="A69" s="133"/>
      <c r="B69" s="133"/>
      <c r="C69" s="133"/>
      <c r="D69" s="133"/>
      <c r="E69" s="133" t="s">
        <v>137</v>
      </c>
      <c r="F69" s="133"/>
      <c r="G69" s="144"/>
      <c r="H69" s="144"/>
      <c r="I69" s="144"/>
      <c r="J69" s="144"/>
      <c r="K69" s="145">
        <f t="shared" si="8"/>
        <v>0</v>
      </c>
      <c r="L69" s="178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1"/>
    </row>
    <row r="70" spans="1:25" outlineLevel="1" x14ac:dyDescent="0.25">
      <c r="A70" s="133"/>
      <c r="B70" s="133"/>
      <c r="C70" s="133"/>
      <c r="D70" s="133"/>
      <c r="E70" s="133"/>
      <c r="F70" s="133" t="s">
        <v>138</v>
      </c>
      <c r="G70" s="144"/>
      <c r="H70" s="144"/>
      <c r="I70" s="144"/>
      <c r="J70" s="144"/>
      <c r="K70" s="145">
        <f t="shared" si="8"/>
        <v>0</v>
      </c>
      <c r="L70" s="159">
        <f>[1]Supporting!N132</f>
        <v>0</v>
      </c>
      <c r="M70" s="180">
        <f>$L70/12</f>
        <v>0</v>
      </c>
      <c r="N70" s="180">
        <f t="shared" ref="N70:X71" si="21">$L70/12</f>
        <v>0</v>
      </c>
      <c r="O70" s="180">
        <f t="shared" si="21"/>
        <v>0</v>
      </c>
      <c r="P70" s="180">
        <f t="shared" si="21"/>
        <v>0</v>
      </c>
      <c r="Q70" s="180">
        <f t="shared" si="21"/>
        <v>0</v>
      </c>
      <c r="R70" s="180">
        <f t="shared" si="21"/>
        <v>0</v>
      </c>
      <c r="S70" s="180">
        <f t="shared" si="21"/>
        <v>0</v>
      </c>
      <c r="T70" s="180">
        <f t="shared" si="21"/>
        <v>0</v>
      </c>
      <c r="U70" s="180">
        <f t="shared" si="21"/>
        <v>0</v>
      </c>
      <c r="V70" s="180">
        <f t="shared" si="21"/>
        <v>0</v>
      </c>
      <c r="W70" s="180">
        <f t="shared" si="21"/>
        <v>0</v>
      </c>
      <c r="X70" s="180">
        <f t="shared" si="21"/>
        <v>0</v>
      </c>
      <c r="Y70" s="153" t="s">
        <v>99</v>
      </c>
    </row>
    <row r="71" spans="1:25" outlineLevel="1" x14ac:dyDescent="0.25">
      <c r="A71" s="133"/>
      <c r="B71" s="133"/>
      <c r="C71" s="133"/>
      <c r="D71" s="133"/>
      <c r="E71" s="133"/>
      <c r="F71" s="133" t="s">
        <v>139</v>
      </c>
      <c r="G71" s="144"/>
      <c r="H71" s="144"/>
      <c r="I71" s="144"/>
      <c r="J71" s="144"/>
      <c r="K71" s="145">
        <f t="shared" si="8"/>
        <v>0</v>
      </c>
      <c r="L71" s="159">
        <f>[1]Supporting!N133</f>
        <v>250</v>
      </c>
      <c r="M71" s="180">
        <f>$L71/12</f>
        <v>20.833333333333332</v>
      </c>
      <c r="N71" s="180">
        <f t="shared" si="21"/>
        <v>20.833333333333332</v>
      </c>
      <c r="O71" s="180">
        <f t="shared" si="21"/>
        <v>20.833333333333332</v>
      </c>
      <c r="P71" s="180">
        <f t="shared" si="21"/>
        <v>20.833333333333332</v>
      </c>
      <c r="Q71" s="180">
        <f t="shared" si="21"/>
        <v>20.833333333333332</v>
      </c>
      <c r="R71" s="180">
        <f t="shared" si="21"/>
        <v>20.833333333333332</v>
      </c>
      <c r="S71" s="180">
        <f t="shared" si="21"/>
        <v>20.833333333333332</v>
      </c>
      <c r="T71" s="180">
        <f t="shared" si="21"/>
        <v>20.833333333333332</v>
      </c>
      <c r="U71" s="180">
        <f t="shared" si="21"/>
        <v>20.833333333333332</v>
      </c>
      <c r="V71" s="180">
        <f t="shared" si="21"/>
        <v>20.833333333333332</v>
      </c>
      <c r="W71" s="180">
        <f t="shared" si="21"/>
        <v>20.833333333333332</v>
      </c>
      <c r="X71" s="180">
        <f t="shared" si="21"/>
        <v>20.833333333333332</v>
      </c>
      <c r="Y71" s="153" t="s">
        <v>99</v>
      </c>
    </row>
    <row r="72" spans="1:25" outlineLevel="1" x14ac:dyDescent="0.25">
      <c r="A72" s="133"/>
      <c r="B72" s="133"/>
      <c r="C72" s="133"/>
      <c r="D72" s="133"/>
      <c r="E72" s="133"/>
      <c r="F72" s="133" t="s">
        <v>140</v>
      </c>
      <c r="G72" s="144"/>
      <c r="H72" s="144"/>
      <c r="I72" s="144"/>
      <c r="J72" s="144"/>
      <c r="K72" s="145">
        <f t="shared" si="8"/>
        <v>0</v>
      </c>
      <c r="L72" s="159">
        <f>[1]Supporting!N134</f>
        <v>960</v>
      </c>
      <c r="M72" s="180">
        <f t="shared" ref="M72:X72" si="22">$L72/12</f>
        <v>80</v>
      </c>
      <c r="N72" s="180">
        <f t="shared" si="22"/>
        <v>80</v>
      </c>
      <c r="O72" s="180">
        <f t="shared" si="22"/>
        <v>80</v>
      </c>
      <c r="P72" s="180">
        <f t="shared" si="22"/>
        <v>80</v>
      </c>
      <c r="Q72" s="180">
        <f t="shared" si="22"/>
        <v>80</v>
      </c>
      <c r="R72" s="180">
        <f t="shared" si="22"/>
        <v>80</v>
      </c>
      <c r="S72" s="180">
        <f t="shared" si="22"/>
        <v>80</v>
      </c>
      <c r="T72" s="180">
        <f t="shared" si="22"/>
        <v>80</v>
      </c>
      <c r="U72" s="180">
        <f t="shared" si="22"/>
        <v>80</v>
      </c>
      <c r="V72" s="180">
        <f t="shared" si="22"/>
        <v>80</v>
      </c>
      <c r="W72" s="180">
        <f t="shared" si="22"/>
        <v>80</v>
      </c>
      <c r="X72" s="180">
        <f t="shared" si="22"/>
        <v>80</v>
      </c>
      <c r="Y72" s="153" t="s">
        <v>99</v>
      </c>
    </row>
    <row r="73" spans="1:25" x14ac:dyDescent="0.25">
      <c r="A73" s="133"/>
      <c r="B73" s="133"/>
      <c r="C73" s="133"/>
      <c r="D73" s="133"/>
      <c r="E73" s="133" t="s">
        <v>141</v>
      </c>
      <c r="F73" s="133"/>
      <c r="G73" s="144"/>
      <c r="H73" s="144"/>
      <c r="I73" s="144"/>
      <c r="J73" s="144"/>
      <c r="K73" s="145">
        <f t="shared" si="8"/>
        <v>0</v>
      </c>
      <c r="L73" s="178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1"/>
    </row>
    <row r="74" spans="1:25" outlineLevel="1" x14ac:dyDescent="0.25">
      <c r="A74" s="133"/>
      <c r="B74" s="133"/>
      <c r="C74" s="133"/>
      <c r="D74" s="133"/>
      <c r="E74" s="133"/>
      <c r="F74" s="133" t="s">
        <v>142</v>
      </c>
      <c r="G74" s="144"/>
      <c r="H74" s="144"/>
      <c r="I74" s="144"/>
      <c r="J74" s="144"/>
      <c r="K74" s="145">
        <f t="shared" si="8"/>
        <v>0</v>
      </c>
      <c r="L74" s="160">
        <f>[1]Supporting!N156</f>
        <v>6375</v>
      </c>
      <c r="M74" s="180">
        <f>$L74/12</f>
        <v>531.25</v>
      </c>
      <c r="N74" s="180">
        <f t="shared" ref="N74:X75" si="23">$L74/12</f>
        <v>531.25</v>
      </c>
      <c r="O74" s="180">
        <f t="shared" si="23"/>
        <v>531.25</v>
      </c>
      <c r="P74" s="180">
        <f t="shared" si="23"/>
        <v>531.25</v>
      </c>
      <c r="Q74" s="180">
        <f t="shared" si="23"/>
        <v>531.25</v>
      </c>
      <c r="R74" s="180">
        <f t="shared" si="23"/>
        <v>531.25</v>
      </c>
      <c r="S74" s="180">
        <f t="shared" si="23"/>
        <v>531.25</v>
      </c>
      <c r="T74" s="180">
        <f t="shared" si="23"/>
        <v>531.25</v>
      </c>
      <c r="U74" s="180">
        <f t="shared" si="23"/>
        <v>531.25</v>
      </c>
      <c r="V74" s="180">
        <f t="shared" si="23"/>
        <v>531.25</v>
      </c>
      <c r="W74" s="180">
        <f t="shared" si="23"/>
        <v>531.25</v>
      </c>
      <c r="X74" s="180">
        <f t="shared" si="23"/>
        <v>531.25</v>
      </c>
      <c r="Y74" s="153" t="s">
        <v>99</v>
      </c>
    </row>
    <row r="75" spans="1:25" outlineLevel="1" x14ac:dyDescent="0.25">
      <c r="A75" s="133"/>
      <c r="B75" s="133"/>
      <c r="C75" s="133"/>
      <c r="D75" s="133"/>
      <c r="E75" s="133"/>
      <c r="F75" s="133" t="s">
        <v>143</v>
      </c>
      <c r="G75" s="144"/>
      <c r="H75" s="144"/>
      <c r="I75" s="144"/>
      <c r="J75" s="144"/>
      <c r="K75" s="145">
        <f t="shared" si="8"/>
        <v>0</v>
      </c>
      <c r="L75" s="160">
        <f>[1]Supporting!N157</f>
        <v>50</v>
      </c>
      <c r="M75" s="180">
        <f>$L75/12</f>
        <v>4.166666666666667</v>
      </c>
      <c r="N75" s="180">
        <f t="shared" si="23"/>
        <v>4.166666666666667</v>
      </c>
      <c r="O75" s="180">
        <f t="shared" si="23"/>
        <v>4.166666666666667</v>
      </c>
      <c r="P75" s="180">
        <f t="shared" si="23"/>
        <v>4.166666666666667</v>
      </c>
      <c r="Q75" s="180">
        <f t="shared" si="23"/>
        <v>4.166666666666667</v>
      </c>
      <c r="R75" s="180">
        <f t="shared" si="23"/>
        <v>4.166666666666667</v>
      </c>
      <c r="S75" s="180">
        <f t="shared" si="23"/>
        <v>4.166666666666667</v>
      </c>
      <c r="T75" s="180">
        <f t="shared" si="23"/>
        <v>4.166666666666667</v>
      </c>
      <c r="U75" s="180">
        <f t="shared" si="23"/>
        <v>4.166666666666667</v>
      </c>
      <c r="V75" s="180">
        <f t="shared" si="23"/>
        <v>4.166666666666667</v>
      </c>
      <c r="W75" s="180">
        <f t="shared" si="23"/>
        <v>4.166666666666667</v>
      </c>
      <c r="X75" s="180">
        <f t="shared" si="23"/>
        <v>4.166666666666667</v>
      </c>
      <c r="Y75" s="153" t="s">
        <v>99</v>
      </c>
    </row>
    <row r="76" spans="1:25" outlineLevel="1" x14ac:dyDescent="0.25">
      <c r="A76" s="133"/>
      <c r="B76" s="133"/>
      <c r="C76" s="133"/>
      <c r="D76" s="133"/>
      <c r="E76" s="133"/>
      <c r="F76" s="133" t="s">
        <v>144</v>
      </c>
      <c r="G76" s="144"/>
      <c r="H76" s="144"/>
      <c r="I76" s="144"/>
      <c r="J76" s="144"/>
      <c r="K76" s="145">
        <f t="shared" si="8"/>
        <v>0</v>
      </c>
      <c r="L76" s="160">
        <f>[1]Supporting!N158</f>
        <v>3000</v>
      </c>
      <c r="M76" s="180">
        <f t="shared" ref="M76:X77" si="24">$L76/12</f>
        <v>250</v>
      </c>
      <c r="N76" s="180">
        <f t="shared" si="24"/>
        <v>250</v>
      </c>
      <c r="O76" s="180">
        <f t="shared" si="24"/>
        <v>250</v>
      </c>
      <c r="P76" s="180">
        <f t="shared" si="24"/>
        <v>250</v>
      </c>
      <c r="Q76" s="180">
        <f t="shared" si="24"/>
        <v>250</v>
      </c>
      <c r="R76" s="180">
        <f t="shared" si="24"/>
        <v>250</v>
      </c>
      <c r="S76" s="180">
        <f t="shared" si="24"/>
        <v>250</v>
      </c>
      <c r="T76" s="180">
        <f t="shared" si="24"/>
        <v>250</v>
      </c>
      <c r="U76" s="180">
        <f t="shared" si="24"/>
        <v>250</v>
      </c>
      <c r="V76" s="180">
        <f t="shared" si="24"/>
        <v>250</v>
      </c>
      <c r="W76" s="180">
        <f t="shared" si="24"/>
        <v>250</v>
      </c>
      <c r="X76" s="180">
        <f t="shared" si="24"/>
        <v>250</v>
      </c>
      <c r="Y76" s="153" t="s">
        <v>99</v>
      </c>
    </row>
    <row r="77" spans="1:25" ht="15.75" thickBot="1" x14ac:dyDescent="0.3">
      <c r="A77" s="133"/>
      <c r="B77" s="133"/>
      <c r="C77" s="133"/>
      <c r="D77" s="133"/>
      <c r="E77" s="133" t="s">
        <v>145</v>
      </c>
      <c r="F77" s="133"/>
      <c r="G77" s="144"/>
      <c r="H77" s="136"/>
      <c r="I77" s="136"/>
      <c r="J77" s="136"/>
      <c r="K77" s="145">
        <f t="shared" si="8"/>
        <v>0</v>
      </c>
      <c r="L77" s="159">
        <f>[1]Supporting!N137</f>
        <v>600</v>
      </c>
      <c r="M77" s="180">
        <f t="shared" si="24"/>
        <v>50</v>
      </c>
      <c r="N77" s="180">
        <f t="shared" si="24"/>
        <v>50</v>
      </c>
      <c r="O77" s="180">
        <f t="shared" si="24"/>
        <v>50</v>
      </c>
      <c r="P77" s="180">
        <f t="shared" si="24"/>
        <v>50</v>
      </c>
      <c r="Q77" s="180">
        <f t="shared" si="24"/>
        <v>50</v>
      </c>
      <c r="R77" s="180">
        <f t="shared" si="24"/>
        <v>50</v>
      </c>
      <c r="S77" s="180">
        <f t="shared" si="24"/>
        <v>50</v>
      </c>
      <c r="T77" s="180">
        <f t="shared" si="24"/>
        <v>50</v>
      </c>
      <c r="U77" s="180">
        <f t="shared" si="24"/>
        <v>50</v>
      </c>
      <c r="V77" s="180">
        <f t="shared" si="24"/>
        <v>50</v>
      </c>
      <c r="W77" s="180">
        <f t="shared" si="24"/>
        <v>50</v>
      </c>
      <c r="X77" s="180">
        <f t="shared" si="24"/>
        <v>50</v>
      </c>
      <c r="Y77" s="153" t="s">
        <v>99</v>
      </c>
    </row>
    <row r="78" spans="1:25" x14ac:dyDescent="0.25">
      <c r="A78" s="133"/>
      <c r="B78" s="133"/>
      <c r="C78" s="133"/>
      <c r="D78" s="133" t="s">
        <v>11</v>
      </c>
      <c r="E78" s="133"/>
      <c r="F78" s="133"/>
      <c r="G78" s="191"/>
      <c r="H78" s="191"/>
      <c r="I78" s="191"/>
      <c r="J78" s="191"/>
      <c r="K78" s="191">
        <f>SUM(K34:K77)</f>
        <v>0</v>
      </c>
      <c r="L78" s="192">
        <f>ROUND(SUM(L33:L77),5)</f>
        <v>312836.66369999998</v>
      </c>
      <c r="M78" s="193">
        <f>ROUND(SUM(M33:M77),5)</f>
        <v>24626.323369999998</v>
      </c>
      <c r="N78" s="193">
        <f t="shared" ref="N78:X78" si="25">ROUND(SUM(N33:N77),5)</f>
        <v>24626.323369999998</v>
      </c>
      <c r="O78" s="193">
        <f t="shared" si="25"/>
        <v>28956.519179999999</v>
      </c>
      <c r="P78" s="193">
        <f t="shared" si="25"/>
        <v>24626.323369999998</v>
      </c>
      <c r="Q78" s="193">
        <f t="shared" si="25"/>
        <v>24626.323369999998</v>
      </c>
      <c r="R78" s="193">
        <f t="shared" si="25"/>
        <v>28956.519179999999</v>
      </c>
      <c r="S78" s="193">
        <f t="shared" si="25"/>
        <v>24626.323369999998</v>
      </c>
      <c r="T78" s="193">
        <f t="shared" si="25"/>
        <v>24626.323369999998</v>
      </c>
      <c r="U78" s="193">
        <f t="shared" si="25"/>
        <v>28956.519179999999</v>
      </c>
      <c r="V78" s="193">
        <f t="shared" si="25"/>
        <v>24626.323369999998</v>
      </c>
      <c r="W78" s="193">
        <f t="shared" si="25"/>
        <v>24626.323369999998</v>
      </c>
      <c r="X78" s="193">
        <f t="shared" si="25"/>
        <v>28956.519179999999</v>
      </c>
    </row>
    <row r="79" spans="1:25" ht="15.75" thickBot="1" x14ac:dyDescent="0.3">
      <c r="A79" s="133"/>
      <c r="B79" s="133" t="s">
        <v>146</v>
      </c>
      <c r="C79" s="133"/>
      <c r="D79" s="133"/>
      <c r="E79" s="133"/>
      <c r="F79" s="133"/>
      <c r="G79" s="194"/>
      <c r="H79" s="194"/>
      <c r="I79" s="194"/>
      <c r="J79" s="194"/>
      <c r="K79" s="195">
        <f>ROUND(+K32-K78,5)</f>
        <v>0</v>
      </c>
      <c r="L79" s="196">
        <f t="shared" ref="L79:X79" si="26">ROUND(L32-L78,5)</f>
        <v>37349.436300000001</v>
      </c>
      <c r="M79" s="197">
        <f t="shared" si="26"/>
        <v>8709.0432999999994</v>
      </c>
      <c r="N79" s="197">
        <f t="shared" si="26"/>
        <v>10288.2433</v>
      </c>
      <c r="O79" s="197">
        <f t="shared" si="26"/>
        <v>37.347490000000001</v>
      </c>
      <c r="P79" s="197">
        <f t="shared" si="26"/>
        <v>6537.6432999999997</v>
      </c>
      <c r="Q79" s="197">
        <f t="shared" si="26"/>
        <v>8807.7433000000001</v>
      </c>
      <c r="R79" s="197">
        <f t="shared" si="26"/>
        <v>-10424.852510000001</v>
      </c>
      <c r="S79" s="197">
        <f t="shared" si="26"/>
        <v>4267.5433000000003</v>
      </c>
      <c r="T79" s="197">
        <f t="shared" si="26"/>
        <v>2293.5432999999998</v>
      </c>
      <c r="U79" s="197">
        <f t="shared" si="26"/>
        <v>-4009.3525100000002</v>
      </c>
      <c r="V79" s="197">
        <f t="shared" si="26"/>
        <v>1800.0433</v>
      </c>
      <c r="W79" s="197">
        <f t="shared" si="26"/>
        <v>13644.043299999999</v>
      </c>
      <c r="X79" s="198">
        <f t="shared" si="26"/>
        <v>-4601.5525100000004</v>
      </c>
    </row>
    <row r="80" spans="1:25" ht="15.75" thickTop="1" x14ac:dyDescent="0.25">
      <c r="L80" s="128">
        <f>SUM(M79:X79)</f>
        <v>37349.43636</v>
      </c>
      <c r="M80" s="128">
        <f>SUM(M78:X78)</f>
        <v>312836.66368</v>
      </c>
    </row>
    <row r="81" spans="12:12" x14ac:dyDescent="0.25">
      <c r="L81" s="199">
        <f>+L80/L20</f>
        <v>0.10061809364224138</v>
      </c>
    </row>
  </sheetData>
  <mergeCells count="1">
    <mergeCell ref="L4:X4"/>
  </mergeCells>
  <pageMargins left="0.7" right="0.7" top="0.75" bottom="0.75" header="0.3" footer="0.3"/>
  <pageSetup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80"/>
  <sheetViews>
    <sheetView workbookViewId="0">
      <selection activeCell="L6" sqref="L6"/>
    </sheetView>
  </sheetViews>
  <sheetFormatPr defaultColWidth="9.140625" defaultRowHeight="15" outlineLevelRow="1" x14ac:dyDescent="0.25"/>
  <cols>
    <col min="1" max="5" width="1.42578125" style="127" customWidth="1"/>
    <col min="6" max="6" width="22.42578125" style="127" customWidth="1"/>
    <col min="7" max="10" width="13.7109375" style="128" hidden="1" customWidth="1"/>
    <col min="11" max="11" width="13.7109375" style="129" hidden="1" customWidth="1"/>
    <col min="12" max="12" width="13.7109375" style="128" customWidth="1"/>
    <col min="13" max="24" width="9.7109375" style="128" customWidth="1"/>
    <col min="25" max="16384" width="9.140625" style="128"/>
  </cols>
  <sheetData>
    <row r="1" spans="1:25" ht="15.75" x14ac:dyDescent="0.25">
      <c r="A1" s="126" t="s">
        <v>147</v>
      </c>
    </row>
    <row r="2" spans="1:25" ht="18.75" x14ac:dyDescent="0.3">
      <c r="A2" s="130" t="s">
        <v>45</v>
      </c>
    </row>
    <row r="3" spans="1:25" ht="6.75" customHeight="1" x14ac:dyDescent="0.25">
      <c r="A3" s="132" t="s">
        <v>46</v>
      </c>
    </row>
    <row r="4" spans="1:25" s="136" customFormat="1" ht="15.75" thickBot="1" x14ac:dyDescent="0.3">
      <c r="A4" s="133"/>
      <c r="B4" s="133"/>
      <c r="C4" s="133"/>
      <c r="D4" s="133"/>
      <c r="E4" s="133"/>
      <c r="F4" s="133"/>
      <c r="G4" s="134"/>
      <c r="H4" s="134"/>
      <c r="I4" s="134"/>
      <c r="J4" s="134"/>
      <c r="K4" s="135"/>
      <c r="L4" s="330" t="s">
        <v>47</v>
      </c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</row>
    <row r="5" spans="1:25" s="143" customFormat="1" ht="46.5" thickTop="1" thickBot="1" x14ac:dyDescent="0.3">
      <c r="A5" s="137"/>
      <c r="B5" s="137"/>
      <c r="C5" s="137"/>
      <c r="D5" s="137"/>
      <c r="E5" s="137"/>
      <c r="F5" s="137" t="str">
        <f>+A1</f>
        <v>ReStore South</v>
      </c>
      <c r="G5" s="138" t="s">
        <v>48</v>
      </c>
      <c r="H5" s="139" t="s">
        <v>49</v>
      </c>
      <c r="I5" s="139" t="s">
        <v>50</v>
      </c>
      <c r="J5" s="139" t="s">
        <v>51</v>
      </c>
      <c r="K5" s="140" t="s">
        <v>52</v>
      </c>
      <c r="L5" s="141" t="s">
        <v>53</v>
      </c>
      <c r="M5" s="138" t="s">
        <v>54</v>
      </c>
      <c r="N5" s="138" t="s">
        <v>55</v>
      </c>
      <c r="O5" s="138" t="s">
        <v>56</v>
      </c>
      <c r="P5" s="138" t="s">
        <v>57</v>
      </c>
      <c r="Q5" s="138" t="s">
        <v>58</v>
      </c>
      <c r="R5" s="138" t="s">
        <v>59</v>
      </c>
      <c r="S5" s="138" t="s">
        <v>60</v>
      </c>
      <c r="T5" s="138" t="s">
        <v>61</v>
      </c>
      <c r="U5" s="138" t="s">
        <v>62</v>
      </c>
      <c r="V5" s="138" t="s">
        <v>63</v>
      </c>
      <c r="W5" s="138" t="s">
        <v>64</v>
      </c>
      <c r="X5" s="142" t="s">
        <v>65</v>
      </c>
    </row>
    <row r="6" spans="1:25" ht="15.75" thickTop="1" x14ac:dyDescent="0.25">
      <c r="A6" s="133"/>
      <c r="B6" s="133"/>
      <c r="C6" s="133"/>
      <c r="D6" s="133" t="s">
        <v>66</v>
      </c>
      <c r="E6" s="133"/>
      <c r="F6" s="133"/>
      <c r="G6" s="144"/>
      <c r="H6" s="144"/>
      <c r="I6" s="144"/>
      <c r="J6" s="144"/>
      <c r="K6" s="145"/>
      <c r="L6" s="146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</row>
    <row r="7" spans="1:25" x14ac:dyDescent="0.25">
      <c r="A7" s="133"/>
      <c r="B7" s="133"/>
      <c r="C7" s="133"/>
      <c r="D7" s="133"/>
      <c r="E7" s="133" t="s">
        <v>67</v>
      </c>
      <c r="F7" s="133"/>
      <c r="G7" s="144"/>
      <c r="H7" s="144"/>
      <c r="I7" s="144">
        <f>G7+H7</f>
        <v>0</v>
      </c>
      <c r="J7" s="144"/>
      <c r="K7" s="145">
        <f>I7-J7</f>
        <v>0</v>
      </c>
      <c r="L7" s="146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8"/>
    </row>
    <row r="8" spans="1:25" x14ac:dyDescent="0.25">
      <c r="A8" s="133"/>
      <c r="B8" s="133"/>
      <c r="C8" s="133"/>
      <c r="D8" s="133"/>
      <c r="E8" s="149" t="s">
        <v>68</v>
      </c>
      <c r="F8" s="133"/>
      <c r="G8" s="144"/>
      <c r="H8" s="144"/>
      <c r="I8" s="144"/>
      <c r="J8" s="144"/>
      <c r="K8" s="145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8"/>
    </row>
    <row r="9" spans="1:25" s="136" customFormat="1" x14ac:dyDescent="0.25">
      <c r="A9" s="133"/>
      <c r="B9" s="133"/>
      <c r="C9" s="133"/>
      <c r="D9" s="133"/>
      <c r="E9" s="133" t="s">
        <v>69</v>
      </c>
      <c r="F9" s="133"/>
      <c r="G9" s="144"/>
      <c r="H9" s="144"/>
      <c r="I9" s="144"/>
      <c r="J9" s="144"/>
      <c r="K9" s="150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8"/>
    </row>
    <row r="10" spans="1:25" x14ac:dyDescent="0.25">
      <c r="A10" s="133"/>
      <c r="B10" s="133"/>
      <c r="C10" s="133"/>
      <c r="D10" s="133"/>
      <c r="E10" s="133" t="s">
        <v>70</v>
      </c>
      <c r="F10" s="133"/>
      <c r="G10" s="144"/>
      <c r="H10" s="144"/>
      <c r="I10" s="144"/>
      <c r="J10" s="144"/>
      <c r="K10" s="145">
        <f t="shared" ref="K10:K19" si="0">I10-J10</f>
        <v>0</v>
      </c>
      <c r="L10" s="159">
        <f>SUM(M10:X10)</f>
        <v>447400</v>
      </c>
      <c r="M10" s="160">
        <v>30300</v>
      </c>
      <c r="N10" s="160">
        <v>35400</v>
      </c>
      <c r="O10" s="160">
        <v>30700</v>
      </c>
      <c r="P10" s="160">
        <v>38400</v>
      </c>
      <c r="Q10" s="160">
        <v>34600</v>
      </c>
      <c r="R10" s="160">
        <v>26500</v>
      </c>
      <c r="S10" s="160">
        <v>37200</v>
      </c>
      <c r="T10" s="160">
        <v>26000</v>
      </c>
      <c r="U10" s="160">
        <v>23300</v>
      </c>
      <c r="V10" s="160">
        <v>28000</v>
      </c>
      <c r="W10" s="160">
        <v>68500</v>
      </c>
      <c r="X10" s="160">
        <v>68500</v>
      </c>
      <c r="Y10" s="153" t="s">
        <v>148</v>
      </c>
    </row>
    <row r="11" spans="1:25" x14ac:dyDescent="0.25">
      <c r="A11" s="133"/>
      <c r="B11" s="133"/>
      <c r="C11" s="133"/>
      <c r="D11" s="133"/>
      <c r="E11" s="133" t="s">
        <v>72</v>
      </c>
      <c r="F11" s="133"/>
      <c r="G11" s="144"/>
      <c r="H11" s="144"/>
      <c r="I11" s="144"/>
      <c r="J11" s="144"/>
      <c r="K11" s="145">
        <f t="shared" si="0"/>
        <v>0</v>
      </c>
      <c r="L11" s="146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</row>
    <row r="12" spans="1:25" x14ac:dyDescent="0.25">
      <c r="A12" s="133"/>
      <c r="B12" s="133"/>
      <c r="C12" s="133"/>
      <c r="D12" s="133"/>
      <c r="E12" s="133" t="s">
        <v>73</v>
      </c>
      <c r="F12" s="133"/>
      <c r="G12" s="144"/>
      <c r="H12" s="144"/>
      <c r="I12" s="144"/>
      <c r="J12" s="144"/>
      <c r="K12" s="145">
        <f t="shared" si="0"/>
        <v>0</v>
      </c>
      <c r="L12" s="146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28" t="s">
        <v>148</v>
      </c>
    </row>
    <row r="13" spans="1:25" x14ac:dyDescent="0.25">
      <c r="A13" s="133"/>
      <c r="B13" s="133"/>
      <c r="C13" s="133"/>
      <c r="D13" s="133"/>
      <c r="E13" s="149" t="s">
        <v>74</v>
      </c>
      <c r="F13" s="133"/>
      <c r="G13" s="144"/>
      <c r="H13" s="144"/>
      <c r="I13" s="144"/>
      <c r="K13" s="145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</row>
    <row r="14" spans="1:25" x14ac:dyDescent="0.25">
      <c r="A14" s="133"/>
      <c r="B14" s="133"/>
      <c r="C14" s="133"/>
      <c r="D14" s="133"/>
      <c r="E14" s="133" t="s">
        <v>75</v>
      </c>
      <c r="F14" s="133"/>
      <c r="G14" s="144"/>
      <c r="H14" s="144"/>
      <c r="I14" s="144"/>
      <c r="J14" s="144"/>
      <c r="K14" s="145">
        <f t="shared" ref="K14" si="1">I14-J14</f>
        <v>0</v>
      </c>
      <c r="L14" s="146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8"/>
      <c r="Y14" s="155"/>
    </row>
    <row r="15" spans="1:25" x14ac:dyDescent="0.25">
      <c r="A15" s="133"/>
      <c r="B15" s="133"/>
      <c r="C15" s="133"/>
      <c r="D15" s="133"/>
      <c r="E15" s="133" t="s">
        <v>76</v>
      </c>
      <c r="F15" s="133"/>
      <c r="G15" s="144"/>
      <c r="H15" s="144"/>
      <c r="I15" s="144"/>
      <c r="J15" s="144"/>
      <c r="K15" s="145"/>
      <c r="L15" s="146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</row>
    <row r="16" spans="1:25" x14ac:dyDescent="0.25">
      <c r="A16" s="133"/>
      <c r="B16" s="133"/>
      <c r="C16" s="133"/>
      <c r="D16" s="133"/>
      <c r="E16" s="133" t="s">
        <v>77</v>
      </c>
      <c r="F16" s="133"/>
      <c r="G16" s="144"/>
      <c r="H16" s="144"/>
      <c r="I16" s="144"/>
      <c r="J16" s="144"/>
      <c r="K16" s="145">
        <f t="shared" si="0"/>
        <v>0</v>
      </c>
      <c r="L16" s="146">
        <v>500</v>
      </c>
      <c r="M16" s="157">
        <f>$L16/12</f>
        <v>41.666666666666664</v>
      </c>
      <c r="N16" s="157">
        <f t="shared" ref="N16:X16" si="2">$L16/12</f>
        <v>41.666666666666664</v>
      </c>
      <c r="O16" s="157">
        <f t="shared" si="2"/>
        <v>41.666666666666664</v>
      </c>
      <c r="P16" s="157">
        <f t="shared" si="2"/>
        <v>41.666666666666664</v>
      </c>
      <c r="Q16" s="157">
        <f t="shared" si="2"/>
        <v>41.666666666666664</v>
      </c>
      <c r="R16" s="157">
        <f t="shared" si="2"/>
        <v>41.666666666666664</v>
      </c>
      <c r="S16" s="157">
        <f t="shared" si="2"/>
        <v>41.666666666666664</v>
      </c>
      <c r="T16" s="157">
        <f t="shared" si="2"/>
        <v>41.666666666666664</v>
      </c>
      <c r="U16" s="157">
        <f t="shared" si="2"/>
        <v>41.666666666666664</v>
      </c>
      <c r="V16" s="157">
        <f t="shared" si="2"/>
        <v>41.666666666666664</v>
      </c>
      <c r="W16" s="157">
        <f t="shared" si="2"/>
        <v>41.666666666666664</v>
      </c>
      <c r="X16" s="157">
        <f t="shared" si="2"/>
        <v>41.666666666666664</v>
      </c>
      <c r="Y16" s="158"/>
    </row>
    <row r="17" spans="1:25" x14ac:dyDescent="0.25">
      <c r="A17" s="133"/>
      <c r="B17" s="133"/>
      <c r="C17" s="133"/>
      <c r="D17" s="133"/>
      <c r="E17" s="133" t="s">
        <v>78</v>
      </c>
      <c r="F17" s="133"/>
      <c r="G17" s="144"/>
      <c r="H17" s="144"/>
      <c r="I17" s="144"/>
      <c r="J17" s="144"/>
      <c r="K17" s="145">
        <f t="shared" si="0"/>
        <v>0</v>
      </c>
      <c r="L17" s="146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8"/>
    </row>
    <row r="18" spans="1:25" x14ac:dyDescent="0.25">
      <c r="A18" s="133"/>
      <c r="B18" s="133"/>
      <c r="C18" s="133"/>
      <c r="D18" s="133"/>
      <c r="E18" s="133" t="s">
        <v>79</v>
      </c>
      <c r="F18" s="133"/>
      <c r="G18" s="144"/>
      <c r="H18" s="144"/>
      <c r="I18" s="144"/>
      <c r="J18" s="144"/>
      <c r="K18" s="145">
        <f t="shared" si="0"/>
        <v>0</v>
      </c>
      <c r="L18" s="151">
        <f>SUM(M18:X18)</f>
        <v>400</v>
      </c>
      <c r="M18" s="152"/>
      <c r="N18" s="152"/>
      <c r="O18" s="152">
        <v>100</v>
      </c>
      <c r="P18" s="152"/>
      <c r="Q18" s="152"/>
      <c r="R18" s="152">
        <v>100</v>
      </c>
      <c r="S18" s="152"/>
      <c r="T18" s="152"/>
      <c r="U18" s="152">
        <v>100</v>
      </c>
      <c r="V18" s="152"/>
      <c r="W18" s="152"/>
      <c r="X18" s="152">
        <v>100</v>
      </c>
      <c r="Y18" s="153" t="s">
        <v>80</v>
      </c>
    </row>
    <row r="19" spans="1:25" ht="15.75" thickBot="1" x14ac:dyDescent="0.3">
      <c r="A19" s="133"/>
      <c r="B19" s="133"/>
      <c r="C19" s="133"/>
      <c r="D19" s="133"/>
      <c r="E19" s="133" t="s">
        <v>81</v>
      </c>
      <c r="F19" s="133"/>
      <c r="G19" s="162"/>
      <c r="H19" s="162"/>
      <c r="I19" s="162"/>
      <c r="J19" s="162"/>
      <c r="K19" s="163">
        <f t="shared" si="0"/>
        <v>0</v>
      </c>
      <c r="L19" s="164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</row>
    <row r="20" spans="1:25" x14ac:dyDescent="0.25">
      <c r="A20" s="133"/>
      <c r="B20" s="133"/>
      <c r="C20" s="133"/>
      <c r="D20" s="133" t="s">
        <v>82</v>
      </c>
      <c r="E20" s="133"/>
      <c r="F20" s="133"/>
      <c r="G20" s="144"/>
      <c r="H20" s="144"/>
      <c r="I20" s="144"/>
      <c r="J20" s="144"/>
      <c r="K20" s="145">
        <f>I20-J20</f>
        <v>0</v>
      </c>
      <c r="L20" s="146">
        <f>SUM(M20:X20)</f>
        <v>448300</v>
      </c>
      <c r="M20" s="167">
        <f t="shared" ref="M20:X20" si="3">SUM(M7:M19)</f>
        <v>30341.666666666668</v>
      </c>
      <c r="N20" s="167">
        <f t="shared" si="3"/>
        <v>35441.666666666664</v>
      </c>
      <c r="O20" s="167">
        <f t="shared" si="3"/>
        <v>30841.666666666668</v>
      </c>
      <c r="P20" s="167">
        <f t="shared" si="3"/>
        <v>38441.666666666664</v>
      </c>
      <c r="Q20" s="167">
        <f t="shared" si="3"/>
        <v>34641.666666666664</v>
      </c>
      <c r="R20" s="167">
        <f t="shared" si="3"/>
        <v>26641.666666666668</v>
      </c>
      <c r="S20" s="167">
        <f t="shared" si="3"/>
        <v>37241.666666666664</v>
      </c>
      <c r="T20" s="167">
        <f t="shared" si="3"/>
        <v>26041.666666666668</v>
      </c>
      <c r="U20" s="167">
        <f t="shared" si="3"/>
        <v>23441.666666666668</v>
      </c>
      <c r="V20" s="167">
        <f t="shared" si="3"/>
        <v>28041.666666666668</v>
      </c>
      <c r="W20" s="167">
        <f t="shared" si="3"/>
        <v>68541.666666666672</v>
      </c>
      <c r="X20" s="167">
        <f t="shared" si="3"/>
        <v>68641.666666666672</v>
      </c>
    </row>
    <row r="21" spans="1:25" x14ac:dyDescent="0.25">
      <c r="A21" s="133"/>
      <c r="B21" s="133"/>
      <c r="C21" s="133"/>
      <c r="D21" s="133" t="s">
        <v>83</v>
      </c>
      <c r="E21" s="133"/>
      <c r="F21" s="133"/>
      <c r="G21" s="144"/>
      <c r="H21" s="144"/>
      <c r="I21" s="144"/>
      <c r="J21" s="144"/>
      <c r="K21" s="145"/>
      <c r="L21" s="169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1"/>
    </row>
    <row r="22" spans="1:25" x14ac:dyDescent="0.25">
      <c r="A22" s="133"/>
      <c r="B22" s="133"/>
      <c r="C22" s="133"/>
      <c r="D22" s="133"/>
      <c r="E22" s="133" t="s">
        <v>84</v>
      </c>
      <c r="F22" s="133"/>
      <c r="G22" s="144"/>
      <c r="H22" s="144"/>
      <c r="I22" s="144"/>
      <c r="J22" s="144"/>
      <c r="K22" s="145">
        <f t="shared" ref="K22:K30" si="4">I22-J22</f>
        <v>0</v>
      </c>
      <c r="L22" s="169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</row>
    <row r="23" spans="1:25" x14ac:dyDescent="0.25">
      <c r="A23" s="133"/>
      <c r="B23" s="133"/>
      <c r="C23" s="133"/>
      <c r="D23" s="133"/>
      <c r="E23" s="149" t="s">
        <v>85</v>
      </c>
      <c r="F23" s="133"/>
      <c r="G23" s="144"/>
      <c r="H23" s="144"/>
      <c r="I23" s="144"/>
      <c r="J23" s="144"/>
      <c r="K23" s="145"/>
      <c r="L23" s="169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1"/>
    </row>
    <row r="24" spans="1:25" x14ac:dyDescent="0.25">
      <c r="A24" s="133"/>
      <c r="B24" s="133"/>
      <c r="C24" s="133"/>
      <c r="D24" s="133"/>
      <c r="E24" s="133" t="s">
        <v>86</v>
      </c>
      <c r="F24" s="133"/>
      <c r="G24" s="144"/>
      <c r="H24" s="144"/>
      <c r="I24" s="144"/>
      <c r="J24" s="144"/>
      <c r="K24" s="145">
        <f t="shared" si="4"/>
        <v>0</v>
      </c>
      <c r="L24" s="169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1"/>
    </row>
    <row r="25" spans="1:25" x14ac:dyDescent="0.25">
      <c r="A25" s="133"/>
      <c r="B25" s="133"/>
      <c r="C25" s="133"/>
      <c r="D25" s="133"/>
      <c r="E25" s="133" t="s">
        <v>87</v>
      </c>
      <c r="F25" s="133"/>
      <c r="G25" s="144"/>
      <c r="H25" s="144"/>
      <c r="I25" s="144"/>
      <c r="J25" s="144"/>
      <c r="K25" s="145">
        <f t="shared" si="4"/>
        <v>0</v>
      </c>
      <c r="L25" s="169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1"/>
    </row>
    <row r="26" spans="1:25" x14ac:dyDescent="0.25">
      <c r="A26" s="133"/>
      <c r="B26" s="133"/>
      <c r="C26" s="133"/>
      <c r="D26" s="133"/>
      <c r="E26" s="133" t="s">
        <v>88</v>
      </c>
      <c r="F26" s="133"/>
      <c r="G26" s="144"/>
      <c r="H26" s="144"/>
      <c r="I26" s="144"/>
      <c r="J26" s="144"/>
      <c r="K26" s="145">
        <f t="shared" si="4"/>
        <v>0</v>
      </c>
      <c r="L26" s="169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1"/>
    </row>
    <row r="27" spans="1:25" x14ac:dyDescent="0.25">
      <c r="A27" s="133"/>
      <c r="B27" s="133"/>
      <c r="C27" s="133"/>
      <c r="D27" s="133"/>
      <c r="E27" s="133" t="s">
        <v>89</v>
      </c>
      <c r="F27" s="133"/>
      <c r="G27" s="144"/>
      <c r="H27" s="144"/>
      <c r="I27" s="144"/>
      <c r="J27" s="144"/>
      <c r="K27" s="145">
        <f t="shared" si="4"/>
        <v>0</v>
      </c>
      <c r="L27" s="169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1"/>
    </row>
    <row r="28" spans="1:25" x14ac:dyDescent="0.25">
      <c r="A28" s="133"/>
      <c r="B28" s="133"/>
      <c r="C28" s="133"/>
      <c r="D28" s="133"/>
      <c r="E28" s="133" t="s">
        <v>90</v>
      </c>
      <c r="F28" s="133"/>
      <c r="G28" s="144"/>
      <c r="H28" s="144"/>
      <c r="I28" s="144"/>
      <c r="J28" s="144"/>
      <c r="K28" s="145">
        <f t="shared" si="4"/>
        <v>0</v>
      </c>
      <c r="L28" s="169">
        <f>SUM(M28:X28)</f>
        <v>5816.2</v>
      </c>
      <c r="M28" s="154">
        <f t="shared" ref="M28:X28" si="5">M10*0.013</f>
        <v>393.9</v>
      </c>
      <c r="N28" s="154">
        <f t="shared" si="5"/>
        <v>460.2</v>
      </c>
      <c r="O28" s="154">
        <f t="shared" si="5"/>
        <v>399.09999999999997</v>
      </c>
      <c r="P28" s="154">
        <f t="shared" si="5"/>
        <v>499.2</v>
      </c>
      <c r="Q28" s="154">
        <f t="shared" si="5"/>
        <v>449.79999999999995</v>
      </c>
      <c r="R28" s="154">
        <f t="shared" si="5"/>
        <v>344.5</v>
      </c>
      <c r="S28" s="154">
        <f t="shared" si="5"/>
        <v>483.59999999999997</v>
      </c>
      <c r="T28" s="154">
        <f t="shared" si="5"/>
        <v>338</v>
      </c>
      <c r="U28" s="154">
        <f t="shared" si="5"/>
        <v>302.89999999999998</v>
      </c>
      <c r="V28" s="154">
        <f t="shared" si="5"/>
        <v>364</v>
      </c>
      <c r="W28" s="154">
        <f t="shared" si="5"/>
        <v>890.5</v>
      </c>
      <c r="X28" s="154">
        <f t="shared" si="5"/>
        <v>890.5</v>
      </c>
      <c r="Y28" s="128" t="s">
        <v>91</v>
      </c>
    </row>
    <row r="29" spans="1:25" x14ac:dyDescent="0.25">
      <c r="A29" s="133"/>
      <c r="B29" s="133"/>
      <c r="C29" s="133"/>
      <c r="D29" s="133"/>
      <c r="E29" s="133" t="s">
        <v>92</v>
      </c>
      <c r="F29" s="133"/>
      <c r="G29" s="144"/>
      <c r="H29" s="144"/>
      <c r="I29" s="144"/>
      <c r="J29" s="144"/>
      <c r="K29" s="145">
        <f t="shared" si="4"/>
        <v>0</v>
      </c>
      <c r="L29" s="146">
        <f>SUM(M29:X29)</f>
        <v>13200</v>
      </c>
      <c r="M29" s="154">
        <v>1100</v>
      </c>
      <c r="N29" s="154">
        <v>1100</v>
      </c>
      <c r="O29" s="154">
        <v>1100</v>
      </c>
      <c r="P29" s="154">
        <v>1100</v>
      </c>
      <c r="Q29" s="154">
        <v>1100</v>
      </c>
      <c r="R29" s="154">
        <v>1100</v>
      </c>
      <c r="S29" s="154">
        <v>1100</v>
      </c>
      <c r="T29" s="154">
        <v>1100</v>
      </c>
      <c r="U29" s="154">
        <v>1100</v>
      </c>
      <c r="V29" s="154">
        <v>1100</v>
      </c>
      <c r="W29" s="154">
        <v>1100</v>
      </c>
      <c r="X29" s="154">
        <v>1100</v>
      </c>
      <c r="Y29" s="128" t="s">
        <v>93</v>
      </c>
    </row>
    <row r="30" spans="1:25" ht="15.75" thickBot="1" x14ac:dyDescent="0.3">
      <c r="A30" s="133"/>
      <c r="B30" s="133"/>
      <c r="C30" s="133"/>
      <c r="D30" s="133"/>
      <c r="E30" s="133" t="s">
        <v>94</v>
      </c>
      <c r="F30" s="133"/>
      <c r="G30" s="144"/>
      <c r="H30" s="144"/>
      <c r="I30" s="144"/>
      <c r="J30" s="144"/>
      <c r="K30" s="145">
        <f t="shared" si="4"/>
        <v>0</v>
      </c>
      <c r="L30" s="172">
        <f>SUM(M30:X30)</f>
        <v>1200</v>
      </c>
      <c r="M30" s="154">
        <v>100</v>
      </c>
      <c r="N30" s="154">
        <v>100</v>
      </c>
      <c r="O30" s="154">
        <v>100</v>
      </c>
      <c r="P30" s="154">
        <v>100</v>
      </c>
      <c r="Q30" s="154">
        <v>100</v>
      </c>
      <c r="R30" s="154">
        <v>100</v>
      </c>
      <c r="S30" s="154">
        <v>100</v>
      </c>
      <c r="T30" s="154">
        <v>100</v>
      </c>
      <c r="U30" s="154">
        <v>100</v>
      </c>
      <c r="V30" s="154">
        <v>100</v>
      </c>
      <c r="W30" s="154">
        <v>100</v>
      </c>
      <c r="X30" s="154">
        <v>100</v>
      </c>
      <c r="Y30" s="128" t="s">
        <v>95</v>
      </c>
    </row>
    <row r="31" spans="1:25" ht="15.75" thickBot="1" x14ac:dyDescent="0.3">
      <c r="A31" s="133"/>
      <c r="B31" s="133"/>
      <c r="C31" s="133"/>
      <c r="D31" s="133" t="s">
        <v>96</v>
      </c>
      <c r="E31" s="133"/>
      <c r="F31" s="133"/>
      <c r="G31" s="173"/>
      <c r="H31" s="173"/>
      <c r="I31" s="173"/>
      <c r="J31" s="173"/>
      <c r="K31" s="174">
        <f>ROUND(SUM(K21:K30),5)</f>
        <v>0</v>
      </c>
      <c r="L31" s="175">
        <f>SUM(M31:X31)</f>
        <v>20216.2</v>
      </c>
      <c r="M31" s="176">
        <f>SUM(M22:M30)</f>
        <v>1593.9</v>
      </c>
      <c r="N31" s="176">
        <f t="shared" ref="N31:X31" si="6">SUM(N22:N30)</f>
        <v>1660.2</v>
      </c>
      <c r="O31" s="176">
        <f t="shared" si="6"/>
        <v>1599.1</v>
      </c>
      <c r="P31" s="176">
        <f t="shared" si="6"/>
        <v>1699.2</v>
      </c>
      <c r="Q31" s="176">
        <f t="shared" si="6"/>
        <v>1649.8</v>
      </c>
      <c r="R31" s="176">
        <f t="shared" si="6"/>
        <v>1544.5</v>
      </c>
      <c r="S31" s="176">
        <f t="shared" si="6"/>
        <v>1683.6</v>
      </c>
      <c r="T31" s="176">
        <f t="shared" si="6"/>
        <v>1538</v>
      </c>
      <c r="U31" s="176">
        <f t="shared" si="6"/>
        <v>1502.9</v>
      </c>
      <c r="V31" s="176">
        <f t="shared" si="6"/>
        <v>1564</v>
      </c>
      <c r="W31" s="176">
        <f t="shared" si="6"/>
        <v>2090.5</v>
      </c>
      <c r="X31" s="177">
        <f t="shared" si="6"/>
        <v>2090.5</v>
      </c>
    </row>
    <row r="32" spans="1:25" x14ac:dyDescent="0.25">
      <c r="A32" s="133"/>
      <c r="B32" s="133"/>
      <c r="C32" s="133" t="s">
        <v>41</v>
      </c>
      <c r="D32" s="133"/>
      <c r="E32" s="133"/>
      <c r="F32" s="133"/>
      <c r="G32" s="144"/>
      <c r="H32" s="144"/>
      <c r="I32" s="144"/>
      <c r="J32" s="144"/>
      <c r="K32" s="145">
        <f t="shared" ref="K32:X32" si="7">ROUND(K20-K31,5)</f>
        <v>0</v>
      </c>
      <c r="L32" s="178">
        <f t="shared" si="7"/>
        <v>428083.8</v>
      </c>
      <c r="M32" s="167">
        <f t="shared" si="7"/>
        <v>28747.766670000001</v>
      </c>
      <c r="N32" s="167">
        <f t="shared" si="7"/>
        <v>33781.466670000002</v>
      </c>
      <c r="O32" s="167">
        <f t="shared" si="7"/>
        <v>29242.56667</v>
      </c>
      <c r="P32" s="167">
        <f t="shared" si="7"/>
        <v>36742.466670000002</v>
      </c>
      <c r="Q32" s="167">
        <f t="shared" si="7"/>
        <v>32991.866670000003</v>
      </c>
      <c r="R32" s="167">
        <f t="shared" si="7"/>
        <v>25097.166669999999</v>
      </c>
      <c r="S32" s="167">
        <f t="shared" si="7"/>
        <v>35558.06667</v>
      </c>
      <c r="T32" s="167">
        <f t="shared" si="7"/>
        <v>24503.666669999999</v>
      </c>
      <c r="U32" s="167">
        <f t="shared" si="7"/>
        <v>21938.766670000001</v>
      </c>
      <c r="V32" s="167">
        <f t="shared" si="7"/>
        <v>26477.666669999999</v>
      </c>
      <c r="W32" s="167">
        <f t="shared" si="7"/>
        <v>66451.166670000006</v>
      </c>
      <c r="X32" s="179">
        <f t="shared" si="7"/>
        <v>66551.166670000006</v>
      </c>
    </row>
    <row r="33" spans="1:25" x14ac:dyDescent="0.25">
      <c r="A33" s="133"/>
      <c r="B33" s="133"/>
      <c r="C33" s="133"/>
      <c r="D33" s="133" t="s">
        <v>6</v>
      </c>
      <c r="E33" s="133"/>
      <c r="F33" s="133"/>
      <c r="G33" s="144"/>
      <c r="H33" s="144"/>
      <c r="I33" s="144"/>
      <c r="J33" s="144"/>
      <c r="K33" s="145"/>
      <c r="L33" s="146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1"/>
    </row>
    <row r="34" spans="1:25" x14ac:dyDescent="0.25">
      <c r="A34" s="133"/>
      <c r="B34" s="133"/>
      <c r="C34" s="133"/>
      <c r="D34" s="133"/>
      <c r="E34" s="133" t="s">
        <v>97</v>
      </c>
      <c r="F34" s="133"/>
      <c r="H34" s="144"/>
      <c r="I34" s="144"/>
      <c r="J34" s="144"/>
      <c r="K34" s="145">
        <f t="shared" ref="K34:K77" si="8">I34-J34</f>
        <v>0</v>
      </c>
      <c r="L34" s="146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1"/>
    </row>
    <row r="35" spans="1:25" outlineLevel="1" x14ac:dyDescent="0.25">
      <c r="A35" s="133"/>
      <c r="B35" s="133"/>
      <c r="C35" s="133"/>
      <c r="D35" s="133"/>
      <c r="E35" s="133"/>
      <c r="F35" s="133" t="s">
        <v>98</v>
      </c>
      <c r="G35" s="144"/>
      <c r="H35" s="144"/>
      <c r="I35" s="144"/>
      <c r="J35" s="144"/>
      <c r="K35" s="145">
        <f t="shared" si="8"/>
        <v>0</v>
      </c>
      <c r="L35" s="159">
        <f>[1]Supporting!P9</f>
        <v>1600</v>
      </c>
      <c r="M35" s="180">
        <f>$L35/12</f>
        <v>133.33333333333334</v>
      </c>
      <c r="N35" s="180">
        <f t="shared" ref="N35:X36" si="9">$L35/12</f>
        <v>133.33333333333334</v>
      </c>
      <c r="O35" s="180">
        <f t="shared" si="9"/>
        <v>133.33333333333334</v>
      </c>
      <c r="P35" s="180">
        <f t="shared" si="9"/>
        <v>133.33333333333334</v>
      </c>
      <c r="Q35" s="180">
        <f t="shared" si="9"/>
        <v>133.33333333333334</v>
      </c>
      <c r="R35" s="180">
        <f t="shared" si="9"/>
        <v>133.33333333333334</v>
      </c>
      <c r="S35" s="180">
        <f t="shared" si="9"/>
        <v>133.33333333333334</v>
      </c>
      <c r="T35" s="180">
        <f t="shared" si="9"/>
        <v>133.33333333333334</v>
      </c>
      <c r="U35" s="180">
        <f t="shared" si="9"/>
        <v>133.33333333333334</v>
      </c>
      <c r="V35" s="180">
        <f t="shared" si="9"/>
        <v>133.33333333333334</v>
      </c>
      <c r="W35" s="180">
        <f t="shared" si="9"/>
        <v>133.33333333333334</v>
      </c>
      <c r="X35" s="180">
        <f t="shared" si="9"/>
        <v>133.33333333333334</v>
      </c>
      <c r="Y35" s="153" t="s">
        <v>99</v>
      </c>
    </row>
    <row r="36" spans="1:25" outlineLevel="1" x14ac:dyDescent="0.25">
      <c r="A36" s="133"/>
      <c r="B36" s="133"/>
      <c r="C36" s="133"/>
      <c r="D36" s="133"/>
      <c r="E36" s="133"/>
      <c r="F36" s="133" t="s">
        <v>100</v>
      </c>
      <c r="G36" s="144"/>
      <c r="H36" s="144"/>
      <c r="I36" s="144"/>
      <c r="J36" s="144"/>
      <c r="K36" s="145">
        <f t="shared" si="8"/>
        <v>0</v>
      </c>
      <c r="L36" s="181">
        <v>0</v>
      </c>
      <c r="M36" s="200">
        <f>$L36/12</f>
        <v>0</v>
      </c>
      <c r="N36" s="200">
        <f t="shared" si="9"/>
        <v>0</v>
      </c>
      <c r="O36" s="200">
        <f t="shared" si="9"/>
        <v>0</v>
      </c>
      <c r="P36" s="200">
        <f t="shared" si="9"/>
        <v>0</v>
      </c>
      <c r="Q36" s="200">
        <f t="shared" si="9"/>
        <v>0</v>
      </c>
      <c r="R36" s="200">
        <f t="shared" si="9"/>
        <v>0</v>
      </c>
      <c r="S36" s="200">
        <f t="shared" si="9"/>
        <v>0</v>
      </c>
      <c r="T36" s="200">
        <f t="shared" si="9"/>
        <v>0</v>
      </c>
      <c r="U36" s="200">
        <f t="shared" si="9"/>
        <v>0</v>
      </c>
      <c r="V36" s="200">
        <f t="shared" si="9"/>
        <v>0</v>
      </c>
      <c r="W36" s="200">
        <f t="shared" si="9"/>
        <v>0</v>
      </c>
      <c r="X36" s="200">
        <f t="shared" si="9"/>
        <v>0</v>
      </c>
      <c r="Y36" s="153" t="s">
        <v>99</v>
      </c>
    </row>
    <row r="37" spans="1:25" outlineLevel="1" x14ac:dyDescent="0.25">
      <c r="A37" s="133"/>
      <c r="B37" s="133"/>
      <c r="C37" s="133"/>
      <c r="D37" s="133"/>
      <c r="E37" s="133"/>
      <c r="F37" s="133" t="s">
        <v>101</v>
      </c>
      <c r="G37" s="144"/>
      <c r="H37" s="144"/>
      <c r="I37" s="144"/>
      <c r="J37" s="144"/>
      <c r="K37" s="145">
        <f t="shared" si="8"/>
        <v>0</v>
      </c>
      <c r="L37" s="146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1"/>
    </row>
    <row r="38" spans="1:25" x14ac:dyDescent="0.25">
      <c r="A38" s="133"/>
      <c r="B38" s="133"/>
      <c r="C38" s="133"/>
      <c r="D38" s="133"/>
      <c r="E38" s="133" t="s">
        <v>102</v>
      </c>
      <c r="F38" s="133"/>
      <c r="G38" s="144"/>
      <c r="H38" s="144"/>
      <c r="I38" s="144"/>
      <c r="J38" s="144"/>
      <c r="K38" s="145">
        <f t="shared" si="8"/>
        <v>0</v>
      </c>
      <c r="L38" s="146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1"/>
    </row>
    <row r="39" spans="1:25" x14ac:dyDescent="0.25">
      <c r="A39" s="133"/>
      <c r="B39" s="133"/>
      <c r="C39" s="133"/>
      <c r="D39" s="133"/>
      <c r="E39" s="133" t="s">
        <v>103</v>
      </c>
      <c r="F39" s="133"/>
      <c r="G39" s="144"/>
      <c r="H39" s="144"/>
      <c r="I39" s="144"/>
      <c r="J39" s="144"/>
      <c r="K39" s="145">
        <f t="shared" si="8"/>
        <v>0</v>
      </c>
      <c r="L39" s="146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</row>
    <row r="40" spans="1:25" x14ac:dyDescent="0.25">
      <c r="A40" s="133"/>
      <c r="B40" s="133"/>
      <c r="C40" s="133"/>
      <c r="D40" s="133"/>
      <c r="E40" s="133" t="s">
        <v>104</v>
      </c>
      <c r="F40" s="133"/>
      <c r="G40" s="144"/>
      <c r="H40" s="144"/>
      <c r="I40" s="144"/>
      <c r="J40" s="144"/>
      <c r="K40" s="145">
        <f t="shared" si="8"/>
        <v>0</v>
      </c>
      <c r="L40" s="146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1"/>
    </row>
    <row r="41" spans="1:25" x14ac:dyDescent="0.25">
      <c r="A41" s="133"/>
      <c r="B41" s="133"/>
      <c r="C41" s="133"/>
      <c r="D41" s="133"/>
      <c r="E41" s="133" t="s">
        <v>105</v>
      </c>
      <c r="F41" s="133"/>
      <c r="G41" s="144"/>
      <c r="H41" s="144"/>
      <c r="I41" s="144"/>
      <c r="J41" s="144"/>
      <c r="K41" s="145">
        <f t="shared" si="8"/>
        <v>0</v>
      </c>
      <c r="L41" s="146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1"/>
    </row>
    <row r="42" spans="1:25" x14ac:dyDescent="0.25">
      <c r="A42" s="133"/>
      <c r="B42" s="133"/>
      <c r="C42" s="133"/>
      <c r="D42" s="133"/>
      <c r="E42" s="133" t="s">
        <v>106</v>
      </c>
      <c r="F42" s="128"/>
      <c r="G42" s="144"/>
      <c r="H42" s="144"/>
      <c r="I42" s="144"/>
      <c r="J42" s="144"/>
      <c r="K42" s="145">
        <f t="shared" si="8"/>
        <v>0</v>
      </c>
      <c r="L42" s="181">
        <v>0</v>
      </c>
      <c r="M42" s="200">
        <f>$L42/12</f>
        <v>0</v>
      </c>
      <c r="N42" s="200">
        <f t="shared" ref="N42:X42" si="10">$L42/12</f>
        <v>0</v>
      </c>
      <c r="O42" s="200">
        <f t="shared" si="10"/>
        <v>0</v>
      </c>
      <c r="P42" s="200">
        <f t="shared" si="10"/>
        <v>0</v>
      </c>
      <c r="Q42" s="200">
        <f t="shared" si="10"/>
        <v>0</v>
      </c>
      <c r="R42" s="200">
        <f t="shared" si="10"/>
        <v>0</v>
      </c>
      <c r="S42" s="200">
        <f t="shared" si="10"/>
        <v>0</v>
      </c>
      <c r="T42" s="200">
        <f t="shared" si="10"/>
        <v>0</v>
      </c>
      <c r="U42" s="200">
        <f t="shared" si="10"/>
        <v>0</v>
      </c>
      <c r="V42" s="200">
        <f t="shared" si="10"/>
        <v>0</v>
      </c>
      <c r="W42" s="200">
        <f t="shared" si="10"/>
        <v>0</v>
      </c>
      <c r="X42" s="200">
        <f t="shared" si="10"/>
        <v>0</v>
      </c>
      <c r="Y42" s="153" t="s">
        <v>99</v>
      </c>
    </row>
    <row r="43" spans="1:25" x14ac:dyDescent="0.25">
      <c r="A43" s="133"/>
      <c r="B43" s="133"/>
      <c r="C43" s="133"/>
      <c r="D43" s="133"/>
      <c r="E43" s="133" t="s">
        <v>107</v>
      </c>
      <c r="F43" s="133"/>
      <c r="G43" s="144"/>
      <c r="H43" s="144"/>
      <c r="I43" s="144"/>
      <c r="J43" s="144"/>
      <c r="K43" s="145">
        <f t="shared" si="8"/>
        <v>0</v>
      </c>
      <c r="L43" s="146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1"/>
    </row>
    <row r="44" spans="1:25" outlineLevel="1" x14ac:dyDescent="0.25">
      <c r="A44" s="133"/>
      <c r="B44" s="133"/>
      <c r="C44" s="133"/>
      <c r="D44" s="133"/>
      <c r="E44" s="133"/>
      <c r="F44" s="133" t="s">
        <v>108</v>
      </c>
      <c r="G44" s="144"/>
      <c r="H44" s="144"/>
      <c r="I44" s="144"/>
      <c r="J44" s="144"/>
      <c r="K44" s="145">
        <f t="shared" si="8"/>
        <v>0</v>
      </c>
      <c r="L44" s="159">
        <f>[1]Supporting!P76</f>
        <v>979.78200000000004</v>
      </c>
      <c r="M44" s="180">
        <f>$L44/12</f>
        <v>81.648499999999999</v>
      </c>
      <c r="N44" s="180">
        <f t="shared" ref="N44:X53" si="11">$L44/12</f>
        <v>81.648499999999999</v>
      </c>
      <c r="O44" s="180">
        <f t="shared" si="11"/>
        <v>81.648499999999999</v>
      </c>
      <c r="P44" s="180">
        <f t="shared" si="11"/>
        <v>81.648499999999999</v>
      </c>
      <c r="Q44" s="180">
        <f t="shared" si="11"/>
        <v>81.648499999999999</v>
      </c>
      <c r="R44" s="180">
        <f t="shared" si="11"/>
        <v>81.648499999999999</v>
      </c>
      <c r="S44" s="180">
        <f t="shared" si="11"/>
        <v>81.648499999999999</v>
      </c>
      <c r="T44" s="180">
        <f t="shared" si="11"/>
        <v>81.648499999999999</v>
      </c>
      <c r="U44" s="180">
        <f t="shared" si="11"/>
        <v>81.648499999999999</v>
      </c>
      <c r="V44" s="180">
        <f t="shared" si="11"/>
        <v>81.648499999999999</v>
      </c>
      <c r="W44" s="180">
        <f t="shared" si="11"/>
        <v>81.648499999999999</v>
      </c>
      <c r="X44" s="180">
        <f t="shared" si="11"/>
        <v>81.648499999999999</v>
      </c>
      <c r="Y44" s="153" t="s">
        <v>99</v>
      </c>
    </row>
    <row r="45" spans="1:25" outlineLevel="1" x14ac:dyDescent="0.25">
      <c r="A45" s="133"/>
      <c r="B45" s="133"/>
      <c r="C45" s="133"/>
      <c r="D45" s="133"/>
      <c r="E45" s="133"/>
      <c r="F45" s="133" t="s">
        <v>109</v>
      </c>
      <c r="G45" s="144"/>
      <c r="H45" s="144"/>
      <c r="I45" s="144"/>
      <c r="J45" s="144"/>
      <c r="K45" s="145">
        <f t="shared" si="8"/>
        <v>0</v>
      </c>
      <c r="L45" s="159">
        <f>[1]Supporting!P83+[1]Supporting!P92</f>
        <v>2846.636</v>
      </c>
      <c r="M45" s="180">
        <f>$L45/12</f>
        <v>237.21966666666665</v>
      </c>
      <c r="N45" s="180">
        <f t="shared" si="11"/>
        <v>237.21966666666665</v>
      </c>
      <c r="O45" s="180">
        <f t="shared" si="11"/>
        <v>237.21966666666665</v>
      </c>
      <c r="P45" s="180">
        <f t="shared" si="11"/>
        <v>237.21966666666665</v>
      </c>
      <c r="Q45" s="180">
        <f t="shared" si="11"/>
        <v>237.21966666666665</v>
      </c>
      <c r="R45" s="180">
        <f t="shared" si="11"/>
        <v>237.21966666666665</v>
      </c>
      <c r="S45" s="180">
        <f t="shared" si="11"/>
        <v>237.21966666666665</v>
      </c>
      <c r="T45" s="180">
        <f t="shared" si="11"/>
        <v>237.21966666666665</v>
      </c>
      <c r="U45" s="180">
        <f t="shared" si="11"/>
        <v>237.21966666666665</v>
      </c>
      <c r="V45" s="180">
        <f t="shared" si="11"/>
        <v>237.21966666666665</v>
      </c>
      <c r="W45" s="180">
        <f t="shared" si="11"/>
        <v>237.21966666666665</v>
      </c>
      <c r="X45" s="180">
        <f t="shared" si="11"/>
        <v>237.21966666666665</v>
      </c>
      <c r="Y45" s="153" t="s">
        <v>99</v>
      </c>
    </row>
    <row r="46" spans="1:25" outlineLevel="1" x14ac:dyDescent="0.25">
      <c r="A46" s="133"/>
      <c r="B46" s="133"/>
      <c r="C46" s="133"/>
      <c r="D46" s="133"/>
      <c r="E46" s="133"/>
      <c r="F46" s="133" t="s">
        <v>110</v>
      </c>
      <c r="G46" s="144"/>
      <c r="H46" s="144"/>
      <c r="I46" s="144"/>
      <c r="J46" s="144"/>
      <c r="K46" s="145">
        <f t="shared" si="8"/>
        <v>0</v>
      </c>
      <c r="L46" s="159">
        <f>[1]Supporting!P102</f>
        <v>3549.4900000000002</v>
      </c>
      <c r="M46" s="180">
        <f>$L46/12</f>
        <v>295.79083333333335</v>
      </c>
      <c r="N46" s="180">
        <f t="shared" si="11"/>
        <v>295.79083333333335</v>
      </c>
      <c r="O46" s="180">
        <f t="shared" si="11"/>
        <v>295.79083333333335</v>
      </c>
      <c r="P46" s="180">
        <f t="shared" si="11"/>
        <v>295.79083333333335</v>
      </c>
      <c r="Q46" s="180">
        <f t="shared" si="11"/>
        <v>295.79083333333335</v>
      </c>
      <c r="R46" s="180">
        <f t="shared" si="11"/>
        <v>295.79083333333335</v>
      </c>
      <c r="S46" s="180">
        <f t="shared" si="11"/>
        <v>295.79083333333335</v>
      </c>
      <c r="T46" s="180">
        <f t="shared" si="11"/>
        <v>295.79083333333335</v>
      </c>
      <c r="U46" s="180">
        <f t="shared" si="11"/>
        <v>295.79083333333335</v>
      </c>
      <c r="V46" s="180">
        <f t="shared" si="11"/>
        <v>295.79083333333335</v>
      </c>
      <c r="W46" s="180">
        <f t="shared" si="11"/>
        <v>295.79083333333335</v>
      </c>
      <c r="X46" s="180">
        <f t="shared" si="11"/>
        <v>295.79083333333335</v>
      </c>
      <c r="Y46" s="153" t="s">
        <v>99</v>
      </c>
    </row>
    <row r="47" spans="1:25" outlineLevel="1" x14ac:dyDescent="0.25">
      <c r="A47" s="133"/>
      <c r="B47" s="133"/>
      <c r="C47" s="133"/>
      <c r="D47" s="133"/>
      <c r="E47" s="133"/>
      <c r="F47" s="133" t="s">
        <v>111</v>
      </c>
      <c r="G47" s="144"/>
      <c r="H47" s="144"/>
      <c r="I47" s="144"/>
      <c r="J47" s="144"/>
      <c r="K47" s="145">
        <f t="shared" si="8"/>
        <v>0</v>
      </c>
      <c r="L47" s="181">
        <f>[1]Supporting!P104</f>
        <v>0</v>
      </c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153" t="s">
        <v>99</v>
      </c>
    </row>
    <row r="48" spans="1:25" outlineLevel="1" x14ac:dyDescent="0.25">
      <c r="A48" s="133"/>
      <c r="B48" s="133"/>
      <c r="C48" s="133"/>
      <c r="D48" s="133"/>
      <c r="E48" s="133"/>
      <c r="F48" s="133" t="s">
        <v>112</v>
      </c>
      <c r="G48" s="144"/>
      <c r="H48" s="144"/>
      <c r="I48" s="144"/>
      <c r="J48" s="144"/>
      <c r="K48" s="145">
        <f t="shared" si="8"/>
        <v>0</v>
      </c>
      <c r="L48" s="159">
        <f>[1]Supporting!P106</f>
        <v>5400</v>
      </c>
      <c r="M48" s="180">
        <f>$L48/12</f>
        <v>450</v>
      </c>
      <c r="N48" s="180">
        <f t="shared" si="11"/>
        <v>450</v>
      </c>
      <c r="O48" s="180">
        <f t="shared" si="11"/>
        <v>450</v>
      </c>
      <c r="P48" s="180">
        <f t="shared" si="11"/>
        <v>450</v>
      </c>
      <c r="Q48" s="180">
        <f t="shared" si="11"/>
        <v>450</v>
      </c>
      <c r="R48" s="180">
        <f t="shared" si="11"/>
        <v>450</v>
      </c>
      <c r="S48" s="180">
        <f t="shared" si="11"/>
        <v>450</v>
      </c>
      <c r="T48" s="180">
        <f t="shared" si="11"/>
        <v>450</v>
      </c>
      <c r="U48" s="180">
        <f t="shared" si="11"/>
        <v>450</v>
      </c>
      <c r="V48" s="180">
        <f t="shared" si="11"/>
        <v>450</v>
      </c>
      <c r="W48" s="180">
        <f t="shared" si="11"/>
        <v>450</v>
      </c>
      <c r="X48" s="180">
        <f t="shared" si="11"/>
        <v>450</v>
      </c>
      <c r="Y48" s="153" t="s">
        <v>99</v>
      </c>
    </row>
    <row r="49" spans="1:25" outlineLevel="1" x14ac:dyDescent="0.25">
      <c r="A49" s="133"/>
      <c r="B49" s="133"/>
      <c r="C49" s="133"/>
      <c r="D49" s="133"/>
      <c r="E49" s="133"/>
      <c r="F49" s="133" t="s">
        <v>113</v>
      </c>
      <c r="G49" s="144"/>
      <c r="H49" s="144"/>
      <c r="I49" s="144"/>
      <c r="J49" s="144"/>
      <c r="K49" s="145">
        <f t="shared" si="8"/>
        <v>0</v>
      </c>
      <c r="L49" s="159">
        <f>[1]Supporting!P114</f>
        <v>2698.4</v>
      </c>
      <c r="M49" s="180">
        <f>$L49/12</f>
        <v>224.86666666666667</v>
      </c>
      <c r="N49" s="180">
        <f t="shared" si="11"/>
        <v>224.86666666666667</v>
      </c>
      <c r="O49" s="180">
        <f t="shared" si="11"/>
        <v>224.86666666666667</v>
      </c>
      <c r="P49" s="180">
        <f t="shared" si="11"/>
        <v>224.86666666666667</v>
      </c>
      <c r="Q49" s="180">
        <f t="shared" si="11"/>
        <v>224.86666666666667</v>
      </c>
      <c r="R49" s="180">
        <f t="shared" si="11"/>
        <v>224.86666666666667</v>
      </c>
      <c r="S49" s="180">
        <f t="shared" si="11"/>
        <v>224.86666666666667</v>
      </c>
      <c r="T49" s="180">
        <f t="shared" si="11"/>
        <v>224.86666666666667</v>
      </c>
      <c r="U49" s="180">
        <f t="shared" si="11"/>
        <v>224.86666666666667</v>
      </c>
      <c r="V49" s="180">
        <f t="shared" si="11"/>
        <v>224.86666666666667</v>
      </c>
      <c r="W49" s="180">
        <f t="shared" si="11"/>
        <v>224.86666666666667</v>
      </c>
      <c r="X49" s="180">
        <f t="shared" si="11"/>
        <v>224.86666666666667</v>
      </c>
      <c r="Y49" s="153" t="s">
        <v>99</v>
      </c>
    </row>
    <row r="50" spans="1:25" x14ac:dyDescent="0.25">
      <c r="A50" s="133"/>
      <c r="B50" s="133"/>
      <c r="C50" s="133"/>
      <c r="D50" s="133"/>
      <c r="E50" s="133" t="s">
        <v>114</v>
      </c>
      <c r="F50" s="133"/>
      <c r="G50" s="144"/>
      <c r="H50" s="144"/>
      <c r="I50" s="144"/>
      <c r="J50" s="144"/>
      <c r="K50" s="145">
        <f t="shared" si="8"/>
        <v>0</v>
      </c>
      <c r="L50" s="146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1"/>
    </row>
    <row r="51" spans="1:25" outlineLevel="1" x14ac:dyDescent="0.25">
      <c r="A51" s="133"/>
      <c r="B51" s="133"/>
      <c r="C51" s="133"/>
      <c r="D51" s="133"/>
      <c r="E51" s="133"/>
      <c r="F51" s="133" t="s">
        <v>115</v>
      </c>
      <c r="G51" s="144"/>
      <c r="H51" s="144"/>
      <c r="I51" s="144"/>
      <c r="J51" s="144"/>
      <c r="K51" s="145">
        <f t="shared" si="8"/>
        <v>0</v>
      </c>
      <c r="L51" s="159">
        <f>[1]Supporting!P117</f>
        <v>4101.6000000000004</v>
      </c>
      <c r="M51" s="180">
        <f>$L51/12</f>
        <v>341.8</v>
      </c>
      <c r="N51" s="180">
        <f t="shared" si="11"/>
        <v>341.8</v>
      </c>
      <c r="O51" s="180">
        <f t="shared" si="11"/>
        <v>341.8</v>
      </c>
      <c r="P51" s="180">
        <f t="shared" si="11"/>
        <v>341.8</v>
      </c>
      <c r="Q51" s="180">
        <f t="shared" si="11"/>
        <v>341.8</v>
      </c>
      <c r="R51" s="180">
        <f t="shared" si="11"/>
        <v>341.8</v>
      </c>
      <c r="S51" s="180">
        <f t="shared" si="11"/>
        <v>341.8</v>
      </c>
      <c r="T51" s="180">
        <f t="shared" si="11"/>
        <v>341.8</v>
      </c>
      <c r="U51" s="180">
        <f t="shared" si="11"/>
        <v>341.8</v>
      </c>
      <c r="V51" s="180">
        <f t="shared" si="11"/>
        <v>341.8</v>
      </c>
      <c r="W51" s="180">
        <f t="shared" si="11"/>
        <v>341.8</v>
      </c>
      <c r="X51" s="180">
        <f t="shared" si="11"/>
        <v>341.8</v>
      </c>
      <c r="Y51" s="153" t="s">
        <v>99</v>
      </c>
    </row>
    <row r="52" spans="1:25" outlineLevel="1" x14ac:dyDescent="0.25">
      <c r="A52" s="133"/>
      <c r="B52" s="133"/>
      <c r="C52" s="133"/>
      <c r="D52" s="133"/>
      <c r="E52" s="133"/>
      <c r="F52" s="133" t="s">
        <v>116</v>
      </c>
      <c r="G52" s="144"/>
      <c r="H52" s="144"/>
      <c r="I52" s="144"/>
      <c r="J52" s="144"/>
      <c r="K52" s="145">
        <f t="shared" si="8"/>
        <v>0</v>
      </c>
      <c r="L52" s="159">
        <f>[1]Supporting!P118</f>
        <v>6245.6</v>
      </c>
      <c r="M52" s="180">
        <f>$L52/12</f>
        <v>520.4666666666667</v>
      </c>
      <c r="N52" s="180">
        <f t="shared" si="11"/>
        <v>520.4666666666667</v>
      </c>
      <c r="O52" s="180">
        <f t="shared" si="11"/>
        <v>520.4666666666667</v>
      </c>
      <c r="P52" s="180">
        <f t="shared" si="11"/>
        <v>520.4666666666667</v>
      </c>
      <c r="Q52" s="180">
        <f t="shared" si="11"/>
        <v>520.4666666666667</v>
      </c>
      <c r="R52" s="180">
        <f t="shared" si="11"/>
        <v>520.4666666666667</v>
      </c>
      <c r="S52" s="180">
        <f t="shared" si="11"/>
        <v>520.4666666666667</v>
      </c>
      <c r="T52" s="180">
        <f t="shared" si="11"/>
        <v>520.4666666666667</v>
      </c>
      <c r="U52" s="180">
        <f t="shared" si="11"/>
        <v>520.4666666666667</v>
      </c>
      <c r="V52" s="180">
        <f t="shared" si="11"/>
        <v>520.4666666666667</v>
      </c>
      <c r="W52" s="180">
        <f t="shared" si="11"/>
        <v>520.4666666666667</v>
      </c>
      <c r="X52" s="180">
        <f t="shared" si="11"/>
        <v>520.4666666666667</v>
      </c>
      <c r="Y52" s="153" t="s">
        <v>99</v>
      </c>
    </row>
    <row r="53" spans="1:25" x14ac:dyDescent="0.25">
      <c r="A53" s="133"/>
      <c r="B53" s="133"/>
      <c r="C53" s="133"/>
      <c r="D53" s="133"/>
      <c r="E53" s="133" t="s">
        <v>117</v>
      </c>
      <c r="F53" s="133"/>
      <c r="G53" s="144"/>
      <c r="H53" s="144"/>
      <c r="I53" s="144"/>
      <c r="J53" s="144"/>
      <c r="K53" s="145">
        <f t="shared" si="8"/>
        <v>0</v>
      </c>
      <c r="L53" s="160">
        <v>500</v>
      </c>
      <c r="M53" s="186">
        <f>$L53/12</f>
        <v>41.666666666666664</v>
      </c>
      <c r="N53" s="186">
        <f t="shared" si="11"/>
        <v>41.666666666666664</v>
      </c>
      <c r="O53" s="186">
        <f t="shared" si="11"/>
        <v>41.666666666666664</v>
      </c>
      <c r="P53" s="186">
        <f t="shared" si="11"/>
        <v>41.666666666666664</v>
      </c>
      <c r="Q53" s="186">
        <f t="shared" si="11"/>
        <v>41.666666666666664</v>
      </c>
      <c r="R53" s="186">
        <f t="shared" si="11"/>
        <v>41.666666666666664</v>
      </c>
      <c r="S53" s="186">
        <f t="shared" si="11"/>
        <v>41.666666666666664</v>
      </c>
      <c r="T53" s="186">
        <f t="shared" si="11"/>
        <v>41.666666666666664</v>
      </c>
      <c r="U53" s="186">
        <f t="shared" si="11"/>
        <v>41.666666666666664</v>
      </c>
      <c r="V53" s="186">
        <f t="shared" si="11"/>
        <v>41.666666666666664</v>
      </c>
      <c r="W53" s="186">
        <f t="shared" si="11"/>
        <v>41.666666666666664</v>
      </c>
      <c r="X53" s="186">
        <f t="shared" si="11"/>
        <v>41.666666666666664</v>
      </c>
      <c r="Y53" s="153" t="s">
        <v>118</v>
      </c>
    </row>
    <row r="54" spans="1:25" x14ac:dyDescent="0.25">
      <c r="A54" s="133"/>
      <c r="B54" s="133"/>
      <c r="C54" s="133"/>
      <c r="D54" s="133"/>
      <c r="E54" s="133" t="s">
        <v>9</v>
      </c>
      <c r="F54" s="133"/>
      <c r="G54" s="144"/>
      <c r="H54" s="144"/>
      <c r="I54" s="144"/>
      <c r="J54" s="144"/>
      <c r="K54" s="145">
        <f t="shared" si="8"/>
        <v>0</v>
      </c>
      <c r="L54" s="159">
        <f>[2]Salary!$T$37</f>
        <v>176938.59999999998</v>
      </c>
      <c r="M54" s="187">
        <f>$L54/52*4</f>
        <v>13610.661538461536</v>
      </c>
      <c r="N54" s="187">
        <f t="shared" ref="N54:W54" si="12">$L54/52*4</f>
        <v>13610.661538461536</v>
      </c>
      <c r="O54" s="187">
        <f>$L54/52*5</f>
        <v>17013.326923076922</v>
      </c>
      <c r="P54" s="187">
        <f t="shared" si="12"/>
        <v>13610.661538461536</v>
      </c>
      <c r="Q54" s="187">
        <f t="shared" si="12"/>
        <v>13610.661538461536</v>
      </c>
      <c r="R54" s="187">
        <f>$L54/52*5</f>
        <v>17013.326923076922</v>
      </c>
      <c r="S54" s="187">
        <f t="shared" si="12"/>
        <v>13610.661538461536</v>
      </c>
      <c r="T54" s="187">
        <f t="shared" si="12"/>
        <v>13610.661538461536</v>
      </c>
      <c r="U54" s="187">
        <f>$L54/52*5</f>
        <v>17013.326923076922</v>
      </c>
      <c r="V54" s="187">
        <f t="shared" si="12"/>
        <v>13610.661538461536</v>
      </c>
      <c r="W54" s="187">
        <f t="shared" si="12"/>
        <v>13610.661538461536</v>
      </c>
      <c r="X54" s="188">
        <f>$L54/52*5</f>
        <v>17013.326923076922</v>
      </c>
      <c r="Y54" s="153" t="s">
        <v>119</v>
      </c>
    </row>
    <row r="55" spans="1:25" outlineLevel="1" x14ac:dyDescent="0.25">
      <c r="A55" s="133"/>
      <c r="B55" s="133"/>
      <c r="C55" s="133"/>
      <c r="D55" s="133"/>
      <c r="E55" s="133"/>
      <c r="F55" s="133" t="s">
        <v>120</v>
      </c>
      <c r="G55" s="144"/>
      <c r="H55" s="144"/>
      <c r="I55" s="144"/>
      <c r="J55" s="144"/>
      <c r="K55" s="145">
        <f t="shared" si="8"/>
        <v>0</v>
      </c>
      <c r="L55" s="154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1"/>
    </row>
    <row r="56" spans="1:25" outlineLevel="1" x14ac:dyDescent="0.25">
      <c r="A56" s="133"/>
      <c r="B56" s="133"/>
      <c r="C56" s="133"/>
      <c r="D56" s="133"/>
      <c r="E56" s="133"/>
      <c r="F56" s="133" t="s">
        <v>121</v>
      </c>
      <c r="G56" s="144"/>
      <c r="H56" s="144"/>
      <c r="I56" s="144"/>
      <c r="J56" s="144"/>
      <c r="K56" s="145">
        <f t="shared" si="8"/>
        <v>0</v>
      </c>
      <c r="L56" s="146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1"/>
    </row>
    <row r="57" spans="1:25" x14ac:dyDescent="0.25">
      <c r="A57" s="133"/>
      <c r="B57" s="133"/>
      <c r="C57" s="133"/>
      <c r="D57" s="133"/>
      <c r="E57" s="133" t="s">
        <v>122</v>
      </c>
      <c r="F57" s="133"/>
      <c r="G57" s="144"/>
      <c r="H57" s="144"/>
      <c r="I57" s="144"/>
      <c r="J57" s="144"/>
      <c r="K57" s="145"/>
      <c r="L57" s="146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28" t="s">
        <v>123</v>
      </c>
    </row>
    <row r="58" spans="1:25" outlineLevel="1" x14ac:dyDescent="0.25">
      <c r="A58" s="133"/>
      <c r="B58" s="133"/>
      <c r="C58" s="133"/>
      <c r="D58" s="133"/>
      <c r="E58" s="133"/>
      <c r="F58" s="133" t="s">
        <v>124</v>
      </c>
      <c r="G58" s="144"/>
      <c r="H58" s="144"/>
      <c r="I58" s="144"/>
      <c r="J58" s="144"/>
      <c r="K58" s="145">
        <f t="shared" si="8"/>
        <v>0</v>
      </c>
      <c r="L58" s="159">
        <f>[2]Salary!$T$55</f>
        <v>15305.188899999997</v>
      </c>
      <c r="M58" s="187">
        <f>$L58/52*4</f>
        <v>1177.3222230769229</v>
      </c>
      <c r="N58" s="187">
        <f t="shared" ref="N58:W62" si="13">$L58/52*4</f>
        <v>1177.3222230769229</v>
      </c>
      <c r="O58" s="187">
        <f>$L58/52*5</f>
        <v>1471.6527788461535</v>
      </c>
      <c r="P58" s="187">
        <f t="shared" si="13"/>
        <v>1177.3222230769229</v>
      </c>
      <c r="Q58" s="187">
        <f t="shared" si="13"/>
        <v>1177.3222230769229</v>
      </c>
      <c r="R58" s="187">
        <f>$L58/52*5</f>
        <v>1471.6527788461535</v>
      </c>
      <c r="S58" s="187">
        <f t="shared" si="13"/>
        <v>1177.3222230769229</v>
      </c>
      <c r="T58" s="187">
        <f t="shared" si="13"/>
        <v>1177.3222230769229</v>
      </c>
      <c r="U58" s="187">
        <f>$L58/52*5</f>
        <v>1471.6527788461535</v>
      </c>
      <c r="V58" s="187">
        <f t="shared" si="13"/>
        <v>1177.3222230769229</v>
      </c>
      <c r="W58" s="187">
        <f t="shared" si="13"/>
        <v>1177.3222230769229</v>
      </c>
      <c r="X58" s="188">
        <f>$L58/52*5</f>
        <v>1471.6527788461535</v>
      </c>
      <c r="Y58" s="153" t="s">
        <v>119</v>
      </c>
    </row>
    <row r="59" spans="1:25" outlineLevel="1" x14ac:dyDescent="0.25">
      <c r="A59" s="133"/>
      <c r="B59" s="133"/>
      <c r="C59" s="133"/>
      <c r="D59" s="133"/>
      <c r="E59" s="133"/>
      <c r="F59" s="133" t="s">
        <v>125</v>
      </c>
      <c r="G59" s="144"/>
      <c r="H59" s="144"/>
      <c r="I59" s="144"/>
      <c r="J59" s="144"/>
      <c r="K59" s="145">
        <f t="shared" si="8"/>
        <v>0</v>
      </c>
      <c r="L59" s="159">
        <f>[2]Salary!$T$58</f>
        <v>21892.621999999999</v>
      </c>
      <c r="M59" s="187">
        <f>$L59/52*4</f>
        <v>1684.0478461538462</v>
      </c>
      <c r="N59" s="187">
        <f t="shared" si="13"/>
        <v>1684.0478461538462</v>
      </c>
      <c r="O59" s="187">
        <f>$L59/52*5</f>
        <v>2105.0598076923079</v>
      </c>
      <c r="P59" s="187">
        <f t="shared" si="13"/>
        <v>1684.0478461538462</v>
      </c>
      <c r="Q59" s="187">
        <f t="shared" si="13"/>
        <v>1684.0478461538462</v>
      </c>
      <c r="R59" s="187">
        <f>$L59/52*5</f>
        <v>2105.0598076923079</v>
      </c>
      <c r="S59" s="187">
        <f t="shared" si="13"/>
        <v>1684.0478461538462</v>
      </c>
      <c r="T59" s="187">
        <f t="shared" si="13"/>
        <v>1684.0478461538462</v>
      </c>
      <c r="U59" s="187">
        <f>$L59/52*5</f>
        <v>2105.0598076923079</v>
      </c>
      <c r="V59" s="187">
        <f t="shared" si="13"/>
        <v>1684.0478461538462</v>
      </c>
      <c r="W59" s="187">
        <f t="shared" si="13"/>
        <v>1684.0478461538462</v>
      </c>
      <c r="X59" s="188">
        <f>$L59/52*5</f>
        <v>2105.0598076923079</v>
      </c>
      <c r="Y59" s="153" t="s">
        <v>119</v>
      </c>
    </row>
    <row r="60" spans="1:25" outlineLevel="1" x14ac:dyDescent="0.25">
      <c r="A60" s="133"/>
      <c r="B60" s="133"/>
      <c r="C60" s="133"/>
      <c r="D60" s="133"/>
      <c r="E60" s="133"/>
      <c r="F60" s="133" t="s">
        <v>126</v>
      </c>
      <c r="G60" s="144"/>
      <c r="H60" s="144"/>
      <c r="I60" s="144"/>
      <c r="J60" s="144"/>
      <c r="K60" s="145">
        <f t="shared" si="8"/>
        <v>0</v>
      </c>
      <c r="L60" s="154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28" t="s">
        <v>123</v>
      </c>
    </row>
    <row r="61" spans="1:25" x14ac:dyDescent="0.25">
      <c r="A61" s="133"/>
      <c r="B61" s="133"/>
      <c r="C61" s="133"/>
      <c r="D61" s="133"/>
      <c r="E61" s="133" t="s">
        <v>127</v>
      </c>
      <c r="F61" s="128"/>
      <c r="G61" s="144"/>
      <c r="H61" s="144"/>
      <c r="I61" s="144"/>
      <c r="J61" s="144"/>
      <c r="K61" s="145">
        <f t="shared" si="8"/>
        <v>0</v>
      </c>
      <c r="L61" s="189">
        <f>[2]Salary!$T$61</f>
        <v>8305.8239799999992</v>
      </c>
      <c r="M61" s="187">
        <f>$L61/52*4</f>
        <v>638.90953692307687</v>
      </c>
      <c r="N61" s="187">
        <f t="shared" si="13"/>
        <v>638.90953692307687</v>
      </c>
      <c r="O61" s="187">
        <f>$L61/52*5</f>
        <v>798.63692115384606</v>
      </c>
      <c r="P61" s="187">
        <f t="shared" si="13"/>
        <v>638.90953692307687</v>
      </c>
      <c r="Q61" s="187">
        <f t="shared" si="13"/>
        <v>638.90953692307687</v>
      </c>
      <c r="R61" s="187">
        <f>$L61/52*5</f>
        <v>798.63692115384606</v>
      </c>
      <c r="S61" s="187">
        <f t="shared" si="13"/>
        <v>638.90953692307687</v>
      </c>
      <c r="T61" s="187">
        <f t="shared" si="13"/>
        <v>638.90953692307687</v>
      </c>
      <c r="U61" s="187">
        <f>$L61/52*5</f>
        <v>798.63692115384606</v>
      </c>
      <c r="V61" s="187">
        <f t="shared" si="13"/>
        <v>638.90953692307687</v>
      </c>
      <c r="W61" s="187">
        <f t="shared" si="13"/>
        <v>638.90953692307687</v>
      </c>
      <c r="X61" s="188">
        <f>$L61/52*5</f>
        <v>798.63692115384606</v>
      </c>
      <c r="Y61" s="153" t="s">
        <v>119</v>
      </c>
    </row>
    <row r="62" spans="1:25" x14ac:dyDescent="0.25">
      <c r="A62" s="133"/>
      <c r="B62" s="133"/>
      <c r="C62" s="133"/>
      <c r="D62" s="133"/>
      <c r="E62" s="133" t="s">
        <v>128</v>
      </c>
      <c r="F62" s="133"/>
      <c r="G62" s="144"/>
      <c r="H62" s="144"/>
      <c r="I62" s="144"/>
      <c r="J62" s="144"/>
      <c r="K62" s="145">
        <f t="shared" si="8"/>
        <v>0</v>
      </c>
      <c r="L62" s="189">
        <f>[2]Salary!$T$38</f>
        <v>2727.9471224222762</v>
      </c>
      <c r="M62" s="187">
        <f>$L62/52*4</f>
        <v>209.84208634017509</v>
      </c>
      <c r="N62" s="187">
        <f t="shared" si="13"/>
        <v>209.84208634017509</v>
      </c>
      <c r="O62" s="187">
        <f>$L62/52*5</f>
        <v>262.30260792521887</v>
      </c>
      <c r="P62" s="187">
        <f t="shared" si="13"/>
        <v>209.84208634017509</v>
      </c>
      <c r="Q62" s="187">
        <f t="shared" si="13"/>
        <v>209.84208634017509</v>
      </c>
      <c r="R62" s="187">
        <f>$L62/52*5</f>
        <v>262.30260792521887</v>
      </c>
      <c r="S62" s="187">
        <f t="shared" si="13"/>
        <v>209.84208634017509</v>
      </c>
      <c r="T62" s="187">
        <f t="shared" si="13"/>
        <v>209.84208634017509</v>
      </c>
      <c r="U62" s="187">
        <f>$L62/52*5</f>
        <v>262.30260792521887</v>
      </c>
      <c r="V62" s="187">
        <f t="shared" si="13"/>
        <v>209.84208634017509</v>
      </c>
      <c r="W62" s="187">
        <f t="shared" si="13"/>
        <v>209.84208634017509</v>
      </c>
      <c r="X62" s="188">
        <f>$L62/52*5</f>
        <v>262.30260792521887</v>
      </c>
      <c r="Y62" s="153" t="s">
        <v>119</v>
      </c>
    </row>
    <row r="63" spans="1:25" x14ac:dyDescent="0.25">
      <c r="A63" s="133"/>
      <c r="B63" s="133"/>
      <c r="C63" s="133"/>
      <c r="D63" s="133"/>
      <c r="E63" s="133" t="s">
        <v>129</v>
      </c>
      <c r="F63" s="133"/>
      <c r="G63" s="144"/>
      <c r="H63" s="144"/>
      <c r="I63" s="144"/>
      <c r="J63" s="144"/>
      <c r="K63" s="145">
        <f t="shared" si="8"/>
        <v>0</v>
      </c>
      <c r="L63" s="159">
        <f>[1]Supporting!P127</f>
        <v>0</v>
      </c>
      <c r="M63" s="180">
        <f>$L63/12</f>
        <v>0</v>
      </c>
      <c r="N63" s="180">
        <f t="shared" ref="N63:X64" si="14">$L63/12</f>
        <v>0</v>
      </c>
      <c r="O63" s="180">
        <f t="shared" si="14"/>
        <v>0</v>
      </c>
      <c r="P63" s="180">
        <f t="shared" si="14"/>
        <v>0</v>
      </c>
      <c r="Q63" s="180">
        <f t="shared" si="14"/>
        <v>0</v>
      </c>
      <c r="R63" s="180">
        <f t="shared" si="14"/>
        <v>0</v>
      </c>
      <c r="S63" s="180">
        <f t="shared" si="14"/>
        <v>0</v>
      </c>
      <c r="T63" s="180">
        <f t="shared" si="14"/>
        <v>0</v>
      </c>
      <c r="U63" s="180">
        <f t="shared" si="14"/>
        <v>0</v>
      </c>
      <c r="V63" s="180">
        <f t="shared" si="14"/>
        <v>0</v>
      </c>
      <c r="W63" s="180">
        <f t="shared" si="14"/>
        <v>0</v>
      </c>
      <c r="X63" s="180">
        <f t="shared" si="14"/>
        <v>0</v>
      </c>
      <c r="Y63" s="153" t="s">
        <v>149</v>
      </c>
    </row>
    <row r="64" spans="1:25" x14ac:dyDescent="0.25">
      <c r="A64" s="133"/>
      <c r="B64" s="133"/>
      <c r="C64" s="133"/>
      <c r="D64" s="133"/>
      <c r="E64" s="133" t="s">
        <v>130</v>
      </c>
      <c r="F64" s="133"/>
      <c r="G64" s="144"/>
      <c r="H64" s="144"/>
      <c r="I64" s="144"/>
      <c r="J64" s="144"/>
      <c r="K64" s="145">
        <f t="shared" si="8"/>
        <v>0</v>
      </c>
      <c r="L64" s="159">
        <f>[1]Supporting!P145</f>
        <v>2987.4996999999998</v>
      </c>
      <c r="M64" s="180">
        <f>$L64/12</f>
        <v>248.95830833333332</v>
      </c>
      <c r="N64" s="180">
        <f t="shared" si="14"/>
        <v>248.95830833333332</v>
      </c>
      <c r="O64" s="180">
        <f t="shared" si="14"/>
        <v>248.95830833333332</v>
      </c>
      <c r="P64" s="180">
        <f t="shared" si="14"/>
        <v>248.95830833333332</v>
      </c>
      <c r="Q64" s="180">
        <f t="shared" si="14"/>
        <v>248.95830833333332</v>
      </c>
      <c r="R64" s="180">
        <f t="shared" si="14"/>
        <v>248.95830833333332</v>
      </c>
      <c r="S64" s="180">
        <f t="shared" si="14"/>
        <v>248.95830833333332</v>
      </c>
      <c r="T64" s="180">
        <f t="shared" si="14"/>
        <v>248.95830833333332</v>
      </c>
      <c r="U64" s="180">
        <f t="shared" si="14"/>
        <v>248.95830833333332</v>
      </c>
      <c r="V64" s="180">
        <f t="shared" si="14"/>
        <v>248.95830833333332</v>
      </c>
      <c r="W64" s="180">
        <f t="shared" si="14"/>
        <v>248.95830833333332</v>
      </c>
      <c r="X64" s="180">
        <f t="shared" si="14"/>
        <v>248.95830833333332</v>
      </c>
      <c r="Y64" s="153" t="s">
        <v>99</v>
      </c>
    </row>
    <row r="65" spans="1:25" outlineLevel="1" x14ac:dyDescent="0.25">
      <c r="A65" s="133"/>
      <c r="B65" s="133"/>
      <c r="C65" s="133"/>
      <c r="D65" s="133"/>
      <c r="E65" s="133"/>
      <c r="F65" s="133" t="s">
        <v>131</v>
      </c>
      <c r="G65" s="144"/>
      <c r="H65" s="144"/>
      <c r="I65" s="144"/>
      <c r="J65" s="144"/>
      <c r="K65" s="145">
        <f t="shared" si="8"/>
        <v>0</v>
      </c>
      <c r="L65" s="178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1"/>
      <c r="Y65" s="128" t="s">
        <v>132</v>
      </c>
    </row>
    <row r="66" spans="1:25" outlineLevel="1" x14ac:dyDescent="0.25">
      <c r="A66" s="133"/>
      <c r="B66" s="133"/>
      <c r="C66" s="133"/>
      <c r="D66" s="133"/>
      <c r="E66" s="133"/>
      <c r="F66" s="133" t="s">
        <v>133</v>
      </c>
      <c r="G66" s="144"/>
      <c r="H66" s="144"/>
      <c r="I66" s="144"/>
      <c r="J66" s="144"/>
      <c r="K66" s="145">
        <f t="shared" si="8"/>
        <v>0</v>
      </c>
      <c r="L66" s="178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1"/>
      <c r="Y66" s="128" t="s">
        <v>134</v>
      </c>
    </row>
    <row r="67" spans="1:25" x14ac:dyDescent="0.25">
      <c r="A67" s="133"/>
      <c r="B67" s="133"/>
      <c r="C67" s="133"/>
      <c r="D67" s="133"/>
      <c r="E67" s="133" t="s">
        <v>135</v>
      </c>
      <c r="F67" s="133"/>
      <c r="G67" s="144"/>
      <c r="H67" s="144"/>
      <c r="I67" s="144"/>
      <c r="J67" s="144"/>
      <c r="K67" s="145">
        <f t="shared" si="8"/>
        <v>0</v>
      </c>
      <c r="L67" s="178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1"/>
    </row>
    <row r="68" spans="1:25" x14ac:dyDescent="0.25">
      <c r="A68" s="133"/>
      <c r="B68" s="133"/>
      <c r="C68" s="133"/>
      <c r="D68" s="133"/>
      <c r="E68" s="133" t="s">
        <v>136</v>
      </c>
      <c r="F68" s="133"/>
      <c r="G68" s="144"/>
      <c r="H68" s="144"/>
      <c r="I68" s="144"/>
      <c r="J68" s="144"/>
      <c r="K68" s="145">
        <f t="shared" si="8"/>
        <v>0</v>
      </c>
      <c r="L68" s="178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1"/>
    </row>
    <row r="69" spans="1:25" x14ac:dyDescent="0.25">
      <c r="A69" s="133"/>
      <c r="B69" s="133"/>
      <c r="C69" s="133"/>
      <c r="D69" s="133"/>
      <c r="E69" s="133" t="s">
        <v>137</v>
      </c>
      <c r="F69" s="133"/>
      <c r="G69" s="144"/>
      <c r="H69" s="144"/>
      <c r="I69" s="144"/>
      <c r="J69" s="144"/>
      <c r="K69" s="145">
        <f t="shared" si="8"/>
        <v>0</v>
      </c>
      <c r="L69" s="178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1"/>
    </row>
    <row r="70" spans="1:25" outlineLevel="1" x14ac:dyDescent="0.25">
      <c r="A70" s="133"/>
      <c r="B70" s="133"/>
      <c r="C70" s="133"/>
      <c r="D70" s="133"/>
      <c r="E70" s="133"/>
      <c r="F70" s="133" t="s">
        <v>138</v>
      </c>
      <c r="G70" s="144"/>
      <c r="H70" s="144"/>
      <c r="I70" s="144"/>
      <c r="J70" s="144"/>
      <c r="K70" s="145">
        <f t="shared" si="8"/>
        <v>0</v>
      </c>
      <c r="L70" s="159">
        <f>[1]Supporting!P132</f>
        <v>0</v>
      </c>
      <c r="M70" s="180">
        <f>$L70/12</f>
        <v>0</v>
      </c>
      <c r="N70" s="180">
        <f t="shared" ref="N70:X72" si="15">$L70/12</f>
        <v>0</v>
      </c>
      <c r="O70" s="180">
        <f t="shared" si="15"/>
        <v>0</v>
      </c>
      <c r="P70" s="180">
        <f t="shared" si="15"/>
        <v>0</v>
      </c>
      <c r="Q70" s="180">
        <f t="shared" si="15"/>
        <v>0</v>
      </c>
      <c r="R70" s="180">
        <f t="shared" si="15"/>
        <v>0</v>
      </c>
      <c r="S70" s="180">
        <f t="shared" si="15"/>
        <v>0</v>
      </c>
      <c r="T70" s="180">
        <f t="shared" si="15"/>
        <v>0</v>
      </c>
      <c r="U70" s="180">
        <f t="shared" si="15"/>
        <v>0</v>
      </c>
      <c r="V70" s="180">
        <f t="shared" si="15"/>
        <v>0</v>
      </c>
      <c r="W70" s="180">
        <f t="shared" si="15"/>
        <v>0</v>
      </c>
      <c r="X70" s="180">
        <f t="shared" si="15"/>
        <v>0</v>
      </c>
      <c r="Y70" s="153" t="s">
        <v>99</v>
      </c>
    </row>
    <row r="71" spans="1:25" outlineLevel="1" x14ac:dyDescent="0.25">
      <c r="A71" s="133"/>
      <c r="B71" s="133"/>
      <c r="C71" s="133"/>
      <c r="D71" s="133"/>
      <c r="E71" s="133"/>
      <c r="F71" s="133" t="s">
        <v>139</v>
      </c>
      <c r="G71" s="144"/>
      <c r="H71" s="144"/>
      <c r="I71" s="144"/>
      <c r="J71" s="144"/>
      <c r="K71" s="145">
        <f t="shared" si="8"/>
        <v>0</v>
      </c>
      <c r="L71" s="159">
        <f>[1]Supporting!P133</f>
        <v>1250</v>
      </c>
      <c r="M71" s="180">
        <f t="shared" ref="M71:M72" si="16">$L71/12</f>
        <v>104.16666666666667</v>
      </c>
      <c r="N71" s="180">
        <f t="shared" si="15"/>
        <v>104.16666666666667</v>
      </c>
      <c r="O71" s="180">
        <f t="shared" si="15"/>
        <v>104.16666666666667</v>
      </c>
      <c r="P71" s="180">
        <f t="shared" si="15"/>
        <v>104.16666666666667</v>
      </c>
      <c r="Q71" s="180">
        <f t="shared" si="15"/>
        <v>104.16666666666667</v>
      </c>
      <c r="R71" s="180">
        <f t="shared" si="15"/>
        <v>104.16666666666667</v>
      </c>
      <c r="S71" s="180">
        <f t="shared" si="15"/>
        <v>104.16666666666667</v>
      </c>
      <c r="T71" s="180">
        <f t="shared" si="15"/>
        <v>104.16666666666667</v>
      </c>
      <c r="U71" s="180">
        <f t="shared" si="15"/>
        <v>104.16666666666667</v>
      </c>
      <c r="V71" s="180">
        <f t="shared" si="15"/>
        <v>104.16666666666667</v>
      </c>
      <c r="W71" s="180">
        <f t="shared" si="15"/>
        <v>104.16666666666667</v>
      </c>
      <c r="X71" s="180">
        <f t="shared" si="15"/>
        <v>104.16666666666667</v>
      </c>
      <c r="Y71" s="153" t="s">
        <v>99</v>
      </c>
    </row>
    <row r="72" spans="1:25" outlineLevel="1" x14ac:dyDescent="0.25">
      <c r="A72" s="133"/>
      <c r="B72" s="133"/>
      <c r="C72" s="133"/>
      <c r="D72" s="133"/>
      <c r="E72" s="133"/>
      <c r="F72" s="133" t="s">
        <v>140</v>
      </c>
      <c r="G72" s="144"/>
      <c r="H72" s="144"/>
      <c r="I72" s="144"/>
      <c r="J72" s="144"/>
      <c r="K72" s="145">
        <f t="shared" si="8"/>
        <v>0</v>
      </c>
      <c r="L72" s="159">
        <f>[1]Supporting!P134</f>
        <v>960</v>
      </c>
      <c r="M72" s="180">
        <f t="shared" si="16"/>
        <v>80</v>
      </c>
      <c r="N72" s="180">
        <f t="shared" si="15"/>
        <v>80</v>
      </c>
      <c r="O72" s="180">
        <f t="shared" si="15"/>
        <v>80</v>
      </c>
      <c r="P72" s="180">
        <f t="shared" si="15"/>
        <v>80</v>
      </c>
      <c r="Q72" s="180">
        <f t="shared" si="15"/>
        <v>80</v>
      </c>
      <c r="R72" s="180">
        <f t="shared" si="15"/>
        <v>80</v>
      </c>
      <c r="S72" s="180">
        <f t="shared" si="15"/>
        <v>80</v>
      </c>
      <c r="T72" s="180">
        <f t="shared" si="15"/>
        <v>80</v>
      </c>
      <c r="U72" s="180">
        <f t="shared" si="15"/>
        <v>80</v>
      </c>
      <c r="V72" s="180">
        <f t="shared" si="15"/>
        <v>80</v>
      </c>
      <c r="W72" s="180">
        <f t="shared" si="15"/>
        <v>80</v>
      </c>
      <c r="X72" s="180">
        <f t="shared" si="15"/>
        <v>80</v>
      </c>
      <c r="Y72" s="153" t="s">
        <v>99</v>
      </c>
    </row>
    <row r="73" spans="1:25" x14ac:dyDescent="0.25">
      <c r="A73" s="133"/>
      <c r="B73" s="133"/>
      <c r="C73" s="133"/>
      <c r="D73" s="133"/>
      <c r="E73" s="133" t="s">
        <v>141</v>
      </c>
      <c r="F73" s="133"/>
      <c r="G73" s="144"/>
      <c r="H73" s="144"/>
      <c r="I73" s="144"/>
      <c r="J73" s="144"/>
      <c r="K73" s="145">
        <f t="shared" si="8"/>
        <v>0</v>
      </c>
      <c r="L73" s="178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1"/>
    </row>
    <row r="74" spans="1:25" outlineLevel="1" x14ac:dyDescent="0.25">
      <c r="A74" s="133"/>
      <c r="B74" s="133"/>
      <c r="C74" s="133"/>
      <c r="D74" s="133"/>
      <c r="E74" s="133"/>
      <c r="F74" s="133" t="s">
        <v>142</v>
      </c>
      <c r="G74" s="144"/>
      <c r="H74" s="144"/>
      <c r="I74" s="144"/>
      <c r="J74" s="144"/>
      <c r="K74" s="145">
        <f t="shared" si="8"/>
        <v>0</v>
      </c>
      <c r="L74" s="160">
        <f>[1]Supporting!P156</f>
        <v>6375</v>
      </c>
      <c r="M74" s="187">
        <f>$L74/12</f>
        <v>531.25</v>
      </c>
      <c r="N74" s="187">
        <f t="shared" ref="N74:X77" si="17">$L74/12</f>
        <v>531.25</v>
      </c>
      <c r="O74" s="187">
        <f t="shared" si="17"/>
        <v>531.25</v>
      </c>
      <c r="P74" s="187">
        <f t="shared" si="17"/>
        <v>531.25</v>
      </c>
      <c r="Q74" s="187">
        <f t="shared" si="17"/>
        <v>531.25</v>
      </c>
      <c r="R74" s="187">
        <f t="shared" si="17"/>
        <v>531.25</v>
      </c>
      <c r="S74" s="187">
        <f t="shared" si="17"/>
        <v>531.25</v>
      </c>
      <c r="T74" s="187">
        <f t="shared" si="17"/>
        <v>531.25</v>
      </c>
      <c r="U74" s="187">
        <f t="shared" si="17"/>
        <v>531.25</v>
      </c>
      <c r="V74" s="187">
        <f t="shared" si="17"/>
        <v>531.25</v>
      </c>
      <c r="W74" s="187">
        <f t="shared" si="17"/>
        <v>531.25</v>
      </c>
      <c r="X74" s="188">
        <f t="shared" si="17"/>
        <v>531.25</v>
      </c>
      <c r="Y74" s="153" t="s">
        <v>99</v>
      </c>
    </row>
    <row r="75" spans="1:25" outlineLevel="1" x14ac:dyDescent="0.25">
      <c r="A75" s="133"/>
      <c r="B75" s="133"/>
      <c r="C75" s="133"/>
      <c r="D75" s="133"/>
      <c r="E75" s="133"/>
      <c r="F75" s="133" t="s">
        <v>150</v>
      </c>
      <c r="G75" s="144"/>
      <c r="H75" s="144"/>
      <c r="I75" s="144"/>
      <c r="J75" s="144"/>
      <c r="K75" s="145">
        <f t="shared" si="8"/>
        <v>0</v>
      </c>
      <c r="L75" s="160">
        <f>[1]Supporting!P157</f>
        <v>50</v>
      </c>
      <c r="M75" s="187">
        <f>$L75/12</f>
        <v>4.166666666666667</v>
      </c>
      <c r="N75" s="187">
        <f t="shared" si="17"/>
        <v>4.166666666666667</v>
      </c>
      <c r="O75" s="187">
        <f t="shared" si="17"/>
        <v>4.166666666666667</v>
      </c>
      <c r="P75" s="187">
        <f t="shared" si="17"/>
        <v>4.166666666666667</v>
      </c>
      <c r="Q75" s="187">
        <f t="shared" si="17"/>
        <v>4.166666666666667</v>
      </c>
      <c r="R75" s="187">
        <f t="shared" si="17"/>
        <v>4.166666666666667</v>
      </c>
      <c r="S75" s="187">
        <f t="shared" si="17"/>
        <v>4.166666666666667</v>
      </c>
      <c r="T75" s="187">
        <f t="shared" si="17"/>
        <v>4.166666666666667</v>
      </c>
      <c r="U75" s="187">
        <f t="shared" si="17"/>
        <v>4.166666666666667</v>
      </c>
      <c r="V75" s="187">
        <f t="shared" si="17"/>
        <v>4.166666666666667</v>
      </c>
      <c r="W75" s="187">
        <f t="shared" si="17"/>
        <v>4.166666666666667</v>
      </c>
      <c r="X75" s="188">
        <f t="shared" si="17"/>
        <v>4.166666666666667</v>
      </c>
      <c r="Y75" s="153" t="s">
        <v>99</v>
      </c>
    </row>
    <row r="76" spans="1:25" outlineLevel="1" x14ac:dyDescent="0.25">
      <c r="A76" s="133"/>
      <c r="B76" s="133"/>
      <c r="C76" s="133"/>
      <c r="D76" s="133"/>
      <c r="E76" s="133"/>
      <c r="F76" s="133" t="s">
        <v>144</v>
      </c>
      <c r="G76" s="144"/>
      <c r="H76" s="144"/>
      <c r="I76" s="144"/>
      <c r="J76" s="144"/>
      <c r="K76" s="145">
        <f t="shared" si="8"/>
        <v>0</v>
      </c>
      <c r="L76" s="160">
        <f>[1]Supporting!P158</f>
        <v>3000</v>
      </c>
      <c r="M76" s="187">
        <f>$L76/12</f>
        <v>250</v>
      </c>
      <c r="N76" s="187">
        <f t="shared" si="17"/>
        <v>250</v>
      </c>
      <c r="O76" s="187">
        <f t="shared" si="17"/>
        <v>250</v>
      </c>
      <c r="P76" s="187">
        <f t="shared" si="17"/>
        <v>250</v>
      </c>
      <c r="Q76" s="187">
        <f t="shared" si="17"/>
        <v>250</v>
      </c>
      <c r="R76" s="187">
        <f t="shared" si="17"/>
        <v>250</v>
      </c>
      <c r="S76" s="187">
        <f t="shared" si="17"/>
        <v>250</v>
      </c>
      <c r="T76" s="187">
        <f t="shared" si="17"/>
        <v>250</v>
      </c>
      <c r="U76" s="187">
        <f t="shared" si="17"/>
        <v>250</v>
      </c>
      <c r="V76" s="187">
        <f t="shared" si="17"/>
        <v>250</v>
      </c>
      <c r="W76" s="187">
        <f t="shared" si="17"/>
        <v>250</v>
      </c>
      <c r="X76" s="188">
        <f t="shared" si="17"/>
        <v>250</v>
      </c>
      <c r="Y76" s="153" t="s">
        <v>99</v>
      </c>
    </row>
    <row r="77" spans="1:25" ht="15.75" thickBot="1" x14ac:dyDescent="0.3">
      <c r="A77" s="133"/>
      <c r="B77" s="133"/>
      <c r="C77" s="133"/>
      <c r="D77" s="133"/>
      <c r="E77" s="133" t="s">
        <v>145</v>
      </c>
      <c r="F77" s="133"/>
      <c r="G77" s="144"/>
      <c r="H77" s="136"/>
      <c r="I77" s="136"/>
      <c r="J77" s="136"/>
      <c r="K77" s="145">
        <f t="shared" si="8"/>
        <v>0</v>
      </c>
      <c r="L77" s="201">
        <f>[1]Supporting!P137</f>
        <v>600</v>
      </c>
      <c r="M77" s="187">
        <f>$L77/12</f>
        <v>50</v>
      </c>
      <c r="N77" s="187">
        <f t="shared" si="17"/>
        <v>50</v>
      </c>
      <c r="O77" s="187">
        <f t="shared" si="17"/>
        <v>50</v>
      </c>
      <c r="P77" s="187">
        <f t="shared" si="17"/>
        <v>50</v>
      </c>
      <c r="Q77" s="187">
        <f t="shared" si="17"/>
        <v>50</v>
      </c>
      <c r="R77" s="187">
        <f t="shared" si="17"/>
        <v>50</v>
      </c>
      <c r="S77" s="187">
        <f t="shared" si="17"/>
        <v>50</v>
      </c>
      <c r="T77" s="187">
        <f t="shared" si="17"/>
        <v>50</v>
      </c>
      <c r="U77" s="187">
        <f t="shared" si="17"/>
        <v>50</v>
      </c>
      <c r="V77" s="187">
        <f t="shared" si="17"/>
        <v>50</v>
      </c>
      <c r="W77" s="187">
        <f t="shared" si="17"/>
        <v>50</v>
      </c>
      <c r="X77" s="188">
        <f t="shared" si="17"/>
        <v>50</v>
      </c>
      <c r="Y77" s="153" t="s">
        <v>99</v>
      </c>
    </row>
    <row r="78" spans="1:25" x14ac:dyDescent="0.25">
      <c r="A78" s="133"/>
      <c r="B78" s="133"/>
      <c r="C78" s="133"/>
      <c r="D78" s="133" t="s">
        <v>11</v>
      </c>
      <c r="E78" s="133"/>
      <c r="F78" s="133"/>
      <c r="G78" s="191"/>
      <c r="H78" s="191"/>
      <c r="I78" s="191"/>
      <c r="J78" s="191"/>
      <c r="K78" s="191">
        <f>SUM(K35:K77)</f>
        <v>0</v>
      </c>
      <c r="L78" s="178">
        <f t="shared" ref="L78:X78" si="18">ROUND(SUM(L33:L77),5)</f>
        <v>268314.18969999999</v>
      </c>
      <c r="M78" s="202">
        <f t="shared" si="18"/>
        <v>20916.11721</v>
      </c>
      <c r="N78" s="202">
        <f t="shared" si="18"/>
        <v>20916.11721</v>
      </c>
      <c r="O78" s="202">
        <f t="shared" si="18"/>
        <v>25246.313010000002</v>
      </c>
      <c r="P78" s="202">
        <f t="shared" si="18"/>
        <v>20916.11721</v>
      </c>
      <c r="Q78" s="202">
        <f t="shared" si="18"/>
        <v>20916.11721</v>
      </c>
      <c r="R78" s="202">
        <f t="shared" si="18"/>
        <v>25246.313010000002</v>
      </c>
      <c r="S78" s="202">
        <f t="shared" si="18"/>
        <v>20916.11721</v>
      </c>
      <c r="T78" s="202">
        <f t="shared" si="18"/>
        <v>20916.11721</v>
      </c>
      <c r="U78" s="202">
        <f t="shared" si="18"/>
        <v>25246.313010000002</v>
      </c>
      <c r="V78" s="202">
        <f t="shared" si="18"/>
        <v>20916.11721</v>
      </c>
      <c r="W78" s="202">
        <f t="shared" si="18"/>
        <v>20916.11721</v>
      </c>
      <c r="X78" s="203">
        <f t="shared" si="18"/>
        <v>25246.313010000002</v>
      </c>
    </row>
    <row r="79" spans="1:25" ht="15.75" thickBot="1" x14ac:dyDescent="0.3">
      <c r="A79" s="133"/>
      <c r="B79" s="133" t="s">
        <v>146</v>
      </c>
      <c r="C79" s="133"/>
      <c r="D79" s="133"/>
      <c r="E79" s="133"/>
      <c r="F79" s="133"/>
      <c r="G79" s="194"/>
      <c r="H79" s="194"/>
      <c r="I79" s="194"/>
      <c r="J79" s="194"/>
      <c r="K79" s="195">
        <f>ROUND(+K32-K78,5)</f>
        <v>0</v>
      </c>
      <c r="L79" s="196">
        <f t="shared" ref="L79:X79" si="19">ROUND(L32-L78,5)</f>
        <v>159769.6103</v>
      </c>
      <c r="M79" s="197">
        <f t="shared" si="19"/>
        <v>7831.6494599999996</v>
      </c>
      <c r="N79" s="197">
        <f t="shared" si="19"/>
        <v>12865.349459999999</v>
      </c>
      <c r="O79" s="197">
        <f t="shared" si="19"/>
        <v>3996.2536599999999</v>
      </c>
      <c r="P79" s="197">
        <f t="shared" si="19"/>
        <v>15826.349459999999</v>
      </c>
      <c r="Q79" s="197">
        <f t="shared" si="19"/>
        <v>12075.749460000001</v>
      </c>
      <c r="R79" s="197">
        <f t="shared" si="19"/>
        <v>-149.14634000000001</v>
      </c>
      <c r="S79" s="197">
        <f t="shared" si="19"/>
        <v>14641.94946</v>
      </c>
      <c r="T79" s="197">
        <f t="shared" si="19"/>
        <v>3587.5494600000002</v>
      </c>
      <c r="U79" s="197">
        <f t="shared" si="19"/>
        <v>-3307.5463399999999</v>
      </c>
      <c r="V79" s="197">
        <f t="shared" si="19"/>
        <v>5561.5494600000002</v>
      </c>
      <c r="W79" s="197">
        <f t="shared" si="19"/>
        <v>45535.049460000002</v>
      </c>
      <c r="X79" s="198">
        <f t="shared" si="19"/>
        <v>41304.853660000001</v>
      </c>
    </row>
    <row r="80" spans="1:25" ht="15.75" thickTop="1" x14ac:dyDescent="0.25">
      <c r="L80" s="128">
        <f>SUM(M79:X79)</f>
        <v>159769.61031999998</v>
      </c>
    </row>
  </sheetData>
  <mergeCells count="1">
    <mergeCell ref="L4:X4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Summary</vt:lpstr>
      <vt:lpstr>Dashboard</vt:lpstr>
      <vt:lpstr>NFB Profit % Scenario's</vt:lpstr>
      <vt:lpstr>Niagara Falls &amp; South Consol</vt:lpstr>
      <vt:lpstr>Niagara Falls Blvd vs Current  </vt:lpstr>
      <vt:lpstr>Current '22 Stores Consolidated</vt:lpstr>
      <vt:lpstr> Niagara Falls Blvd 22 </vt:lpstr>
      <vt:lpstr>ReStore North 22</vt:lpstr>
      <vt:lpstr>ReStore South 22</vt:lpstr>
      <vt:lpstr>Net Profit Chart</vt:lpstr>
      <vt:lpstr>Revenue Chart</vt:lpstr>
      <vt:lpstr>Source Data</vt:lpstr>
      <vt:lpstr>Total Expenses</vt:lpstr>
      <vt:lpstr>Current Store Scenario (2)</vt:lpstr>
      <vt:lpstr>Different Scenarios</vt:lpstr>
      <vt:lpstr>'Current ''22 Stores Consolidated'!Print_Area</vt:lpstr>
      <vt:lpstr>'Current Store Scenario (2)'!Print_Area</vt:lpstr>
      <vt:lpstr>'NFB Profit % Scenario''s'!Print_Area</vt:lpstr>
      <vt:lpstr>'Niagara Falls &amp; South Consol'!Print_Area</vt:lpstr>
      <vt:lpstr>'Niagara Falls Blvd vs Current 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Keelan Erhard</dc:creator>
  <cp:keywords/>
  <dc:description/>
  <cp:lastModifiedBy>Keelan Erhard</cp:lastModifiedBy>
  <cp:lastPrinted>2021-06-19T05:37:47Z</cp:lastPrinted>
  <dcterms:created xsi:type="dcterms:W3CDTF">2020-11-16T14:39:37Z</dcterms:created>
  <dcterms:modified xsi:type="dcterms:W3CDTF">2021-09-24T13:13:14Z</dcterms:modified>
  <cp:category/>
</cp:coreProperties>
</file>